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6.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C:\Users\admin\Dropbox\PassthruBusinessDataProject\Paper\resubmission\AERI resubmission\"/>
    </mc:Choice>
  </mc:AlternateContent>
  <xr:revisionPtr revIDLastSave="0" documentId="13_ncr:1_{BA56C202-DEE5-4388-9A4D-CF26B631FADE}" xr6:coauthVersionLast="45" xr6:coauthVersionMax="45" xr10:uidLastSave="{00000000-0000-0000-0000-000000000000}"/>
  <bookViews>
    <workbookView xWindow="-98" yWindow="-98" windowWidth="20715" windowHeight="13875" tabRatio="995" activeTab="3" xr2:uid="{00000000-000D-0000-FFFF-FFFF00000000}"/>
  </bookViews>
  <sheets>
    <sheet name="Aggregate Wage and Non Wage Inc" sheetId="1" r:id="rId1"/>
    <sheet name="Ag Bus Inc,Num,Per ret, adj LFO" sheetId="27" r:id="rId2"/>
    <sheet name="Aggregate income - SIPP PSID" sheetId="29" r:id="rId3"/>
    <sheet name="Agg. inc per owner - SIPP PSID" sheetId="30" r:id="rId4"/>
    <sheet name="Agg. Bus by loss &amp; profits" sheetId="3" r:id="rId5"/>
    <sheet name="Business Receipts" sheetId="36" r:id="rId6"/>
    <sheet name="Business Receipts per Return" sheetId="4" r:id="rId7"/>
    <sheet name="Pos Bus Inc per return by LFO" sheetId="6" r:id="rId8"/>
    <sheet name="Neg Bus Inc  per return by LF" sheetId="7" r:id="rId9"/>
    <sheet name="Bus Inc per return by AGI" sheetId="8" r:id="rId10"/>
    <sheet name="Bus Inc and Num Shares Dist" sheetId="33" r:id="rId11"/>
    <sheet name="Bus Inc and Num Levels Dist" sheetId="34" r:id="rId12"/>
    <sheet name="Business Income per Return e)" sheetId="9" r:id="rId13"/>
    <sheet name="Bus Inc 1040 &amp; Sch C" sheetId="10" r:id="rId14"/>
    <sheet name="Num Sole Prop Alternatives" sheetId="11" r:id="rId15"/>
    <sheet name="Pseudo Lorenz Curve a)" sheetId="12" r:id="rId16"/>
    <sheet name="Pseudo Lorenz Curve AGI" sheetId="13" r:id="rId17"/>
    <sheet name="Pseudo Lorenz Curve Loss" sheetId="14" r:id="rId18"/>
    <sheet name="Gini coefficients Sch C" sheetId="15" r:id="rId19"/>
    <sheet name="Gini coefficients Scorps" sheetId="16" r:id="rId20"/>
    <sheet name="Num Ret by LFO Pos" sheetId="18" r:id="rId21"/>
    <sheet name="Num Ret LFO Loss" sheetId="19" r:id="rId22"/>
    <sheet name="Num returns by AGI" sheetId="20" r:id="rId23"/>
    <sheet name="Number of Returns e)" sheetId="21" r:id="rId24"/>
    <sheet name="Rates of return by LFO" sheetId="22" r:id="rId25"/>
    <sheet name="Capital Gains by LFO" sheetId="23" r:id="rId26"/>
    <sheet name="compustat_pi_mval_all_firms" sheetId="48" r:id="rId27"/>
    <sheet name="comp_pi_mval_small_firms_mc" sheetId="49" r:id="rId28"/>
    <sheet name="compstat_pi_mval_small_firms_at" sheetId="50" r:id="rId29"/>
    <sheet name="compstat_pi_mval_small_firms_sa" sheetId="51" r:id="rId30"/>
    <sheet name="CRSP capital gains all firms" sheetId="47" r:id="rId31"/>
    <sheet name="PrattsReturns" sheetId="26" r:id="rId32"/>
    <sheet name="Broad bus income categories" sheetId="31" r:id="rId33"/>
    <sheet name="SIPP Income Yields 2011" sheetId="32" r:id="rId34"/>
    <sheet name="PSID Uninc Income Yields" sheetId="35" r:id="rId35"/>
    <sheet name="SIPP Uninc Income Yields" sheetId="38" r:id="rId36"/>
    <sheet name="SCF Uninc Income Yields" sheetId="41" r:id="rId37"/>
    <sheet name="Johnson and Moore BBI" sheetId="42" r:id="rId38"/>
    <sheet name="Schedule C+E+F" sheetId="39" r:id="rId39"/>
    <sheet name="Schedule E" sheetId="40" r:id="rId40"/>
    <sheet name="Venn diagram data" sheetId="43" r:id="rId41"/>
    <sheet name="non referencing by AGI" sheetId="45" r:id="rId42"/>
    <sheet name="non referencing by loss or prof" sheetId="46" r:id="rId43"/>
  </sheets>
  <definedNames>
    <definedName name="_xlnm._FilterDatabase" localSheetId="11" hidden="1">'Bus Inc and Num Levels Dist'!$AD$1:$AH$23</definedName>
    <definedName name="_xlnm._FilterDatabase" localSheetId="10" hidden="1">'Bus Inc and Num Shares Dist'!$BQ$1:$BQ$66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W30" i="27" l="1"/>
  <c r="EV30" i="27"/>
  <c r="ER30" i="27"/>
  <c r="EQ30" i="27"/>
  <c r="EM30" i="27"/>
  <c r="EL30" i="27"/>
  <c r="EE30" i="27"/>
  <c r="ED30" i="27"/>
  <c r="EC30" i="27"/>
  <c r="DY30" i="27"/>
  <c r="DW30" i="27"/>
  <c r="DX33" i="27"/>
  <c r="DV30" i="27"/>
  <c r="EH28" i="27"/>
  <c r="EH22" i="27"/>
  <c r="ED20" i="27"/>
  <c r="ED21" i="27"/>
  <c r="ED22" i="27"/>
  <c r="ED23" i="27"/>
  <c r="ED24" i="27"/>
  <c r="ED25" i="27"/>
  <c r="ED26" i="27"/>
  <c r="ED28" i="27"/>
  <c r="DT36" i="27"/>
  <c r="DT35" i="27"/>
  <c r="DT34" i="27"/>
  <c r="DT28" i="27"/>
  <c r="DT22" i="27"/>
  <c r="DT19" i="27"/>
  <c r="DT16" i="27"/>
  <c r="DT13" i="27"/>
  <c r="DT10" i="27"/>
  <c r="DT7" i="27"/>
  <c r="DO30" i="27"/>
  <c r="DP30" i="27" s="1"/>
  <c r="DQ30" i="27" s="1"/>
  <c r="DO28" i="27"/>
  <c r="DO26" i="27"/>
  <c r="DO23" i="27"/>
  <c r="DO22" i="27"/>
  <c r="DO21" i="27"/>
  <c r="DO20" i="27"/>
  <c r="DN30" i="27"/>
  <c r="DL30" i="27"/>
  <c r="DJ30" i="27"/>
  <c r="DI30" i="27"/>
  <c r="DP24" i="27" l="1"/>
  <c r="DP25" i="27"/>
  <c r="DK33" i="27"/>
  <c r="EY36" i="27" l="1"/>
  <c r="EY35" i="27"/>
  <c r="EY34" i="27"/>
  <c r="ES31" i="27"/>
  <c r="EV7" i="27"/>
  <c r="EV8" i="27"/>
  <c r="EV9" i="27"/>
  <c r="EV10" i="27"/>
  <c r="EV11" i="27"/>
  <c r="EV12" i="27"/>
  <c r="EV13" i="27"/>
  <c r="EV14" i="27"/>
  <c r="EV15" i="27"/>
  <c r="EV16" i="27"/>
  <c r="EV17" i="27"/>
  <c r="EV18" i="27"/>
  <c r="EV19" i="27"/>
  <c r="EV20" i="27"/>
  <c r="EV21" i="27"/>
  <c r="EV22" i="27"/>
  <c r="EV23" i="27"/>
  <c r="EV24" i="27"/>
  <c r="EV25" i="27"/>
  <c r="EV26" i="27"/>
  <c r="EV27" i="27"/>
  <c r="EV28" i="27"/>
  <c r="EV29" i="27"/>
  <c r="EV6" i="27"/>
  <c r="ET36" i="27"/>
  <c r="ET35" i="27"/>
  <c r="ET34" i="27"/>
  <c r="EU28" i="27"/>
  <c r="EU25" i="27"/>
  <c r="EU22" i="27"/>
  <c r="ET28" i="27"/>
  <c r="ET25" i="27"/>
  <c r="ET22" i="27"/>
  <c r="ET19" i="27"/>
  <c r="ET16" i="27"/>
  <c r="ET13" i="27"/>
  <c r="ET10" i="27"/>
  <c r="ET7" i="27"/>
  <c r="ES28" i="27"/>
  <c r="ES25" i="27"/>
  <c r="ES22" i="27"/>
  <c r="ES19" i="27"/>
  <c r="ES16" i="27"/>
  <c r="ES13" i="27"/>
  <c r="ES10" i="27"/>
  <c r="ES7" i="27"/>
  <c r="ES4" i="27"/>
  <c r="ER20" i="27"/>
  <c r="ER21" i="27"/>
  <c r="ER22" i="27"/>
  <c r="ER23" i="27"/>
  <c r="ER24" i="27"/>
  <c r="ER25" i="27"/>
  <c r="ER26" i="27"/>
  <c r="ER28" i="27"/>
  <c r="EQ7" i="27"/>
  <c r="EQ8" i="27"/>
  <c r="EQ9" i="27"/>
  <c r="EQ10" i="27"/>
  <c r="EQ11" i="27"/>
  <c r="EQ12" i="27"/>
  <c r="EQ13" i="27"/>
  <c r="EQ14" i="27"/>
  <c r="EQ15" i="27"/>
  <c r="EQ16" i="27"/>
  <c r="EQ17" i="27"/>
  <c r="EQ18" i="27"/>
  <c r="EQ19" i="27"/>
  <c r="EQ20" i="27"/>
  <c r="EQ21" i="27"/>
  <c r="EQ22" i="27"/>
  <c r="EQ23" i="27"/>
  <c r="EQ24" i="27"/>
  <c r="EQ25" i="27"/>
  <c r="EQ26" i="27"/>
  <c r="EQ27" i="27"/>
  <c r="EQ28" i="27"/>
  <c r="EQ29" i="27"/>
  <c r="EQ6" i="27"/>
  <c r="EO36" i="27"/>
  <c r="EO35" i="27"/>
  <c r="EO34" i="27"/>
  <c r="EN31" i="27"/>
  <c r="EN28" i="27"/>
  <c r="EN25" i="27"/>
  <c r="EX25" i="27" s="1"/>
  <c r="EN22" i="27"/>
  <c r="EX22" i="27" s="1"/>
  <c r="EN19" i="27"/>
  <c r="EO19" i="27" s="1"/>
  <c r="EN16" i="27"/>
  <c r="EX16" i="27" s="1"/>
  <c r="EN13" i="27"/>
  <c r="EO13" i="27" s="1"/>
  <c r="EN10" i="27"/>
  <c r="EX10" i="27" s="1"/>
  <c r="EN7" i="27"/>
  <c r="EX7" i="27" s="1"/>
  <c r="EN4" i="27"/>
  <c r="EX4" i="27" s="1"/>
  <c r="EL7" i="27"/>
  <c r="EL8" i="27"/>
  <c r="EL9" i="27"/>
  <c r="EL10" i="27"/>
  <c r="EL11" i="27"/>
  <c r="EL12" i="27"/>
  <c r="EL13" i="27"/>
  <c r="EL14" i="27"/>
  <c r="EL15" i="27"/>
  <c r="EL16" i="27"/>
  <c r="EL17" i="27"/>
  <c r="EL18" i="27"/>
  <c r="EL19" i="27"/>
  <c r="EL20" i="27"/>
  <c r="EL21" i="27"/>
  <c r="EL22" i="27"/>
  <c r="EL23" i="27"/>
  <c r="EL24" i="27"/>
  <c r="EL25" i="27"/>
  <c r="EL26" i="27"/>
  <c r="EL27" i="27"/>
  <c r="EL28" i="27"/>
  <c r="EL29" i="27"/>
  <c r="EL6" i="27"/>
  <c r="EO7" i="27"/>
  <c r="DS28" i="27"/>
  <c r="DS25" i="27"/>
  <c r="DS22" i="27"/>
  <c r="DS19" i="27"/>
  <c r="DS16" i="27"/>
  <c r="DS13" i="27"/>
  <c r="DS10" i="27"/>
  <c r="DS7" i="27"/>
  <c r="DJ20" i="27"/>
  <c r="DL20" i="27" s="1"/>
  <c r="DJ21" i="27"/>
  <c r="DL21" i="27" s="1"/>
  <c r="DJ22" i="27"/>
  <c r="DL22" i="27" s="1"/>
  <c r="DJ23" i="27"/>
  <c r="DL23" i="27" s="1"/>
  <c r="DJ24" i="27"/>
  <c r="DL24" i="27" s="1"/>
  <c r="DJ25" i="27"/>
  <c r="DK25" i="27" s="1"/>
  <c r="DJ26" i="27"/>
  <c r="DK26" i="27" s="1"/>
  <c r="EA28" i="27"/>
  <c r="EA25" i="27"/>
  <c r="EA22" i="27"/>
  <c r="EA19" i="27"/>
  <c r="EA16" i="27"/>
  <c r="EA13" i="27"/>
  <c r="EA10" i="27"/>
  <c r="EA7" i="27"/>
  <c r="DW20" i="27"/>
  <c r="DY20" i="27" s="1"/>
  <c r="DW21" i="27"/>
  <c r="DY21" i="27" s="1"/>
  <c r="DW22" i="27"/>
  <c r="DY22" i="27" s="1"/>
  <c r="EB22" i="27" s="1"/>
  <c r="DW23" i="27"/>
  <c r="DY23" i="27" s="1"/>
  <c r="DW24" i="27"/>
  <c r="DY24" i="27" s="1"/>
  <c r="DW25" i="27"/>
  <c r="DY25" i="27" s="1"/>
  <c r="EB25" i="27" s="1"/>
  <c r="DW26" i="27"/>
  <c r="DY26" i="27" s="1"/>
  <c r="DW28" i="27"/>
  <c r="DY28" i="27" s="1"/>
  <c r="EB28" i="27" s="1"/>
  <c r="DJ28" i="27"/>
  <c r="DL28" i="27" s="1"/>
  <c r="EF31" i="27"/>
  <c r="EC29" i="27"/>
  <c r="EF28" i="27"/>
  <c r="EC28" i="27"/>
  <c r="EC27" i="27"/>
  <c r="EC26" i="27"/>
  <c r="EF25" i="27"/>
  <c r="EC25" i="27"/>
  <c r="EC24" i="27"/>
  <c r="EC23" i="27"/>
  <c r="EF22" i="27"/>
  <c r="EC22" i="27"/>
  <c r="EC21" i="27"/>
  <c r="EC20" i="27"/>
  <c r="EF19" i="27"/>
  <c r="EC19" i="27"/>
  <c r="EC18" i="27"/>
  <c r="EC17" i="27"/>
  <c r="EF16" i="27"/>
  <c r="EC16" i="27"/>
  <c r="EC15" i="27"/>
  <c r="EC14" i="27"/>
  <c r="EF13" i="27"/>
  <c r="EC13" i="27"/>
  <c r="EC12" i="27"/>
  <c r="EC11" i="27"/>
  <c r="EF10" i="27"/>
  <c r="EC10" i="27"/>
  <c r="EC9" i="27"/>
  <c r="EC8" i="27"/>
  <c r="EF7" i="27"/>
  <c r="EC7" i="27"/>
  <c r="EC6" i="27"/>
  <c r="EF4" i="27"/>
  <c r="EX31" i="27" l="1"/>
  <c r="EX28" i="27"/>
  <c r="EY28" i="27" s="1"/>
  <c r="EY7" i="27"/>
  <c r="EY16" i="27"/>
  <c r="EY22" i="27"/>
  <c r="EX19" i="27"/>
  <c r="EY19" i="27" s="1"/>
  <c r="EX13" i="27"/>
  <c r="EO10" i="27"/>
  <c r="EO16" i="27"/>
  <c r="EO22" i="27"/>
  <c r="EO25" i="27"/>
  <c r="EO28" i="27"/>
  <c r="DX21" i="27"/>
  <c r="EY25" i="27"/>
  <c r="EY10" i="27"/>
  <c r="DS36" i="27"/>
  <c r="DS35" i="27"/>
  <c r="EA36" i="27"/>
  <c r="DX26" i="27"/>
  <c r="DL25" i="27"/>
  <c r="DK24" i="27"/>
  <c r="DX24" i="27"/>
  <c r="DK23" i="27"/>
  <c r="DL26" i="27"/>
  <c r="DK22" i="27"/>
  <c r="DK28" i="27"/>
  <c r="DK20" i="27"/>
  <c r="DK21" i="27"/>
  <c r="DX28" i="27"/>
  <c r="EA35" i="27"/>
  <c r="EA34" i="27"/>
  <c r="DX25" i="27"/>
  <c r="DX23" i="27"/>
  <c r="DX22" i="27"/>
  <c r="DX20" i="27"/>
  <c r="EG7" i="27"/>
  <c r="EG22" i="27"/>
  <c r="EG10" i="27"/>
  <c r="EG28" i="27"/>
  <c r="EG16" i="27"/>
  <c r="EG19" i="27"/>
  <c r="DS34" i="27"/>
  <c r="EG13" i="27"/>
  <c r="EG25" i="27"/>
  <c r="D29" i="42"/>
  <c r="D26" i="42"/>
  <c r="D23" i="42"/>
  <c r="D20" i="42"/>
  <c r="D17" i="42"/>
  <c r="D14" i="42"/>
  <c r="D11" i="42"/>
  <c r="D8" i="42"/>
  <c r="D5" i="42"/>
  <c r="D2" i="42"/>
  <c r="EY13" i="27" l="1"/>
  <c r="EG36" i="27"/>
  <c r="EG35" i="27"/>
  <c r="EG34" i="27"/>
  <c r="DJ12" i="27" l="1"/>
  <c r="DL12" i="27" s="1"/>
  <c r="DJ27" i="27"/>
  <c r="DL27" i="27" s="1"/>
  <c r="DJ9" i="27"/>
  <c r="DL9" i="27" s="1"/>
  <c r="DJ13" i="27"/>
  <c r="DL13" i="27" s="1"/>
  <c r="DJ29" i="27"/>
  <c r="DL29" i="27" s="1"/>
  <c r="DJ16" i="27"/>
  <c r="DL16" i="27" s="1"/>
  <c r="DJ6" i="27"/>
  <c r="DL6" i="27" s="1"/>
  <c r="DJ14" i="27"/>
  <c r="DL14" i="27" s="1"/>
  <c r="DJ7" i="27"/>
  <c r="DL7" i="27" s="1"/>
  <c r="DJ15" i="27"/>
  <c r="DL15" i="27" s="1"/>
  <c r="DJ8" i="27"/>
  <c r="DL8" i="27" s="1"/>
  <c r="DJ17" i="27"/>
  <c r="DL17" i="27" s="1"/>
  <c r="DJ10" i="27"/>
  <c r="DL10" i="27" s="1"/>
  <c r="DJ18" i="27"/>
  <c r="DL18" i="27" s="1"/>
  <c r="DJ11" i="27"/>
  <c r="DL11" i="27" s="1"/>
  <c r="DJ19" i="27"/>
  <c r="DL19" i="27" s="1"/>
  <c r="AW5" i="27" l="1"/>
  <c r="AW6" i="27"/>
  <c r="AW7" i="27"/>
  <c r="BB7" i="27" s="1"/>
  <c r="AW8" i="27"/>
  <c r="AW9" i="27"/>
  <c r="AW10" i="27"/>
  <c r="BB10" i="27" s="1"/>
  <c r="AW11" i="27"/>
  <c r="AW12" i="27"/>
  <c r="AW13" i="27"/>
  <c r="BB13" i="27" s="1"/>
  <c r="AW14" i="27"/>
  <c r="AW15" i="27"/>
  <c r="AW16" i="27"/>
  <c r="BB16" i="27" s="1"/>
  <c r="AW17" i="27"/>
  <c r="AW18" i="27"/>
  <c r="AW19" i="27"/>
  <c r="BB19" i="27" s="1"/>
  <c r="AW20" i="27"/>
  <c r="AW21" i="27"/>
  <c r="AW22" i="27"/>
  <c r="BB22" i="27" s="1"/>
  <c r="AW23" i="27"/>
  <c r="AW24" i="27"/>
  <c r="AW25" i="27"/>
  <c r="BB25" i="27" s="1"/>
  <c r="AW26" i="27"/>
  <c r="AW27" i="27"/>
  <c r="AW28" i="27"/>
  <c r="BB28" i="27" s="1"/>
  <c r="AW29" i="27"/>
  <c r="AW30" i="27"/>
  <c r="AW31" i="27"/>
  <c r="BB31" i="27" s="1"/>
  <c r="AW32" i="27"/>
  <c r="AW4" i="27"/>
  <c r="BB4" i="27" s="1"/>
  <c r="BB34" i="27" l="1"/>
  <c r="BB35" i="27"/>
  <c r="BB36" i="27"/>
  <c r="O33" i="30"/>
  <c r="N33" i="30"/>
  <c r="M33" i="30"/>
  <c r="L33" i="30"/>
  <c r="O32" i="30"/>
  <c r="N32" i="30"/>
  <c r="M32" i="30"/>
  <c r="L32" i="30"/>
  <c r="O31" i="30"/>
  <c r="N31" i="30"/>
  <c r="M31" i="30"/>
  <c r="L31" i="30"/>
  <c r="O29" i="30"/>
  <c r="O3" i="30"/>
  <c r="O4" i="30"/>
  <c r="O5" i="30"/>
  <c r="O6" i="30"/>
  <c r="O7" i="30"/>
  <c r="O8" i="30"/>
  <c r="O9" i="30"/>
  <c r="O10" i="30"/>
  <c r="O11" i="30"/>
  <c r="O12" i="30"/>
  <c r="O13" i="30"/>
  <c r="O14" i="30"/>
  <c r="O15" i="30"/>
  <c r="O16" i="30"/>
  <c r="O17" i="30"/>
  <c r="O18" i="30"/>
  <c r="O19" i="30"/>
  <c r="O20" i="30"/>
  <c r="O21" i="30"/>
  <c r="O22" i="30"/>
  <c r="O23" i="30"/>
  <c r="O24" i="30"/>
  <c r="O25" i="30"/>
  <c r="O26" i="30"/>
  <c r="O27" i="30"/>
  <c r="O28" i="30"/>
  <c r="O2" i="30"/>
  <c r="N24" i="30"/>
  <c r="N25" i="30"/>
  <c r="N26" i="30"/>
  <c r="N23" i="30"/>
  <c r="N19" i="30"/>
  <c r="N20" i="30"/>
  <c r="N18" i="30"/>
  <c r="M28" i="30"/>
  <c r="M26" i="30"/>
  <c r="M24" i="30"/>
  <c r="M22" i="30"/>
  <c r="M20" i="30"/>
  <c r="M18" i="30"/>
  <c r="M16" i="30"/>
  <c r="M14" i="30"/>
  <c r="M12" i="30"/>
  <c r="M10" i="30"/>
  <c r="M9" i="30"/>
  <c r="M8" i="30"/>
  <c r="L29" i="30"/>
  <c r="L26" i="30"/>
  <c r="L23" i="30"/>
  <c r="L20" i="30"/>
  <c r="L17" i="30"/>
  <c r="L14" i="30"/>
  <c r="L11" i="30"/>
  <c r="L8" i="30"/>
  <c r="L5" i="30"/>
  <c r="L2" i="30"/>
  <c r="G3" i="30" l="1"/>
  <c r="G4" i="30"/>
  <c r="G5" i="30"/>
  <c r="G6" i="30"/>
  <c r="G7" i="30"/>
  <c r="G8" i="30"/>
  <c r="G9" i="30"/>
  <c r="G10" i="30"/>
  <c r="G11" i="30"/>
  <c r="G12" i="30"/>
  <c r="G13" i="30"/>
  <c r="G14" i="30"/>
  <c r="G15" i="30"/>
  <c r="G16" i="30"/>
  <c r="G17" i="30"/>
  <c r="G18" i="30"/>
  <c r="G19" i="30"/>
  <c r="G20" i="30"/>
  <c r="G21" i="30"/>
  <c r="G22" i="30"/>
  <c r="G23" i="30"/>
  <c r="G24" i="30"/>
  <c r="G25" i="30"/>
  <c r="G26" i="30"/>
  <c r="G27" i="30"/>
  <c r="G28" i="30"/>
  <c r="G29" i="30"/>
  <c r="G30" i="30"/>
  <c r="G2" i="30"/>
  <c r="F3" i="30"/>
  <c r="F4" i="30"/>
  <c r="F5" i="30"/>
  <c r="F6" i="30"/>
  <c r="F7" i="30"/>
  <c r="F8" i="30"/>
  <c r="F9" i="30"/>
  <c r="F10" i="30"/>
  <c r="F11" i="30"/>
  <c r="F12" i="30"/>
  <c r="F13" i="30"/>
  <c r="F14" i="30"/>
  <c r="F15" i="30"/>
  <c r="F16" i="30"/>
  <c r="F17" i="30"/>
  <c r="F18" i="30"/>
  <c r="F19" i="30"/>
  <c r="F20" i="30"/>
  <c r="F21" i="30"/>
  <c r="F22" i="30"/>
  <c r="F23" i="30"/>
  <c r="F24" i="30"/>
  <c r="F25" i="30"/>
  <c r="F26" i="30"/>
  <c r="F27" i="30"/>
  <c r="F28" i="30"/>
  <c r="F29" i="30"/>
  <c r="F30" i="30"/>
  <c r="F2" i="30"/>
  <c r="D3" i="30"/>
  <c r="D4" i="30"/>
  <c r="D5" i="30"/>
  <c r="D6" i="30"/>
  <c r="D7" i="30"/>
  <c r="D8" i="30"/>
  <c r="D9" i="30"/>
  <c r="D10" i="30"/>
  <c r="D11" i="30"/>
  <c r="D12" i="30"/>
  <c r="D13" i="30"/>
  <c r="D14" i="30"/>
  <c r="D15" i="30"/>
  <c r="D16" i="30"/>
  <c r="D17" i="30"/>
  <c r="D18" i="30"/>
  <c r="D19" i="30"/>
  <c r="D20" i="30"/>
  <c r="D21" i="30"/>
  <c r="D22" i="30"/>
  <c r="D23" i="30"/>
  <c r="D24" i="30"/>
  <c r="D25" i="30"/>
  <c r="D26" i="30"/>
  <c r="D27" i="30"/>
  <c r="D28" i="30"/>
  <c r="D29" i="30"/>
  <c r="D30" i="30"/>
  <c r="D2" i="30"/>
  <c r="L3" i="29" l="1"/>
  <c r="L4" i="29"/>
  <c r="L5" i="29"/>
  <c r="L6" i="29"/>
  <c r="L7" i="29"/>
  <c r="L8" i="29"/>
  <c r="L9" i="29"/>
  <c r="L10" i="29"/>
  <c r="L31" i="29" s="1"/>
  <c r="L11" i="29"/>
  <c r="L12" i="29"/>
  <c r="L13" i="29"/>
  <c r="L14" i="29"/>
  <c r="L15" i="29"/>
  <c r="L16" i="29"/>
  <c r="L17" i="29"/>
  <c r="L18" i="29"/>
  <c r="L19" i="29"/>
  <c r="L20" i="29"/>
  <c r="L21" i="29"/>
  <c r="L22" i="29"/>
  <c r="L23" i="29"/>
  <c r="L24" i="29"/>
  <c r="L25" i="29"/>
  <c r="L26" i="29"/>
  <c r="L27" i="29"/>
  <c r="L28" i="29"/>
  <c r="L29" i="29"/>
  <c r="L2" i="29"/>
  <c r="K33" i="29"/>
  <c r="J33" i="29"/>
  <c r="I33" i="29"/>
  <c r="K32" i="29"/>
  <c r="J32" i="29"/>
  <c r="I32" i="29"/>
  <c r="K31" i="29"/>
  <c r="J31" i="29"/>
  <c r="I31" i="29"/>
  <c r="J28" i="29"/>
  <c r="J26" i="29"/>
  <c r="J24" i="29"/>
  <c r="J22" i="29"/>
  <c r="J20" i="29"/>
  <c r="J18" i="29"/>
  <c r="J16" i="29"/>
  <c r="J14" i="29"/>
  <c r="J12" i="29"/>
  <c r="J10" i="29"/>
  <c r="J9" i="29"/>
  <c r="J8" i="29"/>
  <c r="J7" i="29"/>
  <c r="J6" i="29"/>
  <c r="I29" i="29"/>
  <c r="I26" i="29"/>
  <c r="I23" i="29"/>
  <c r="I20" i="29"/>
  <c r="I17" i="29"/>
  <c r="I14" i="29"/>
  <c r="I11" i="29"/>
  <c r="I8" i="29"/>
  <c r="I5" i="29"/>
  <c r="I2" i="29"/>
  <c r="D3" i="29"/>
  <c r="D4" i="29"/>
  <c r="D5" i="29"/>
  <c r="D6" i="29"/>
  <c r="D7" i="29"/>
  <c r="D8" i="29"/>
  <c r="D9" i="29"/>
  <c r="D10" i="29"/>
  <c r="D11" i="29"/>
  <c r="D12" i="29"/>
  <c r="D13" i="29"/>
  <c r="D14" i="29"/>
  <c r="D15" i="29"/>
  <c r="D16" i="29"/>
  <c r="D17" i="29"/>
  <c r="D18" i="29"/>
  <c r="D19" i="29"/>
  <c r="D20" i="29"/>
  <c r="D21" i="29"/>
  <c r="D22" i="29"/>
  <c r="D23" i="29"/>
  <c r="D24" i="29"/>
  <c r="D25" i="29"/>
  <c r="D26" i="29"/>
  <c r="D27" i="29"/>
  <c r="D28" i="29"/>
  <c r="D29" i="29"/>
  <c r="D30" i="29"/>
  <c r="D2" i="29"/>
  <c r="L32" i="29" l="1"/>
  <c r="L33" i="29"/>
  <c r="CS5" i="27" l="1"/>
  <c r="CS6" i="27"/>
  <c r="CS7" i="27"/>
  <c r="CS8" i="27"/>
  <c r="CS9" i="27"/>
  <c r="CS10" i="27"/>
  <c r="CS11" i="27"/>
  <c r="CS12" i="27"/>
  <c r="CS13" i="27"/>
  <c r="CS14" i="27"/>
  <c r="CS15" i="27"/>
  <c r="CS16" i="27"/>
  <c r="CS17" i="27"/>
  <c r="CS18" i="27"/>
  <c r="CS19" i="27"/>
  <c r="CS20" i="27"/>
  <c r="CS21" i="27"/>
  <c r="CS22" i="27"/>
  <c r="CS23" i="27"/>
  <c r="CS24" i="27"/>
  <c r="CS25" i="27"/>
  <c r="CS26" i="27"/>
  <c r="CS27" i="27"/>
  <c r="CS28" i="27"/>
  <c r="CS29" i="27"/>
  <c r="CS30" i="27"/>
  <c r="CS4" i="27"/>
  <c r="CR30" i="27"/>
  <c r="CH30" i="27"/>
  <c r="BY30" i="27"/>
  <c r="BN30" i="27"/>
  <c r="BM30" i="27" s="1"/>
  <c r="BC31" i="27"/>
  <c r="BC32" i="27"/>
  <c r="BA31" i="27"/>
  <c r="AS31" i="27"/>
  <c r="AB32" i="27"/>
  <c r="G32" i="27"/>
  <c r="B32" i="27"/>
  <c r="I32" i="27" s="1"/>
  <c r="B31" i="27"/>
  <c r="I31" i="27" s="1"/>
  <c r="CY30" i="27" l="1"/>
  <c r="D32" i="27"/>
  <c r="J32" i="27" s="1"/>
  <c r="E32" i="27"/>
  <c r="AM32" i="27" s="1"/>
  <c r="AN32" i="27" s="1"/>
  <c r="BZ30" i="27"/>
  <c r="D31" i="27"/>
  <c r="J31" i="27" s="1"/>
  <c r="E31" i="27"/>
  <c r="AM31" i="27" s="1"/>
  <c r="AN31" i="27" s="1"/>
  <c r="AO31" i="27" s="1"/>
  <c r="AU31" i="27" s="1"/>
  <c r="P32" i="27" l="1"/>
  <c r="Q32" i="27" s="1"/>
  <c r="AC32" i="27" s="1"/>
  <c r="P31" i="27"/>
  <c r="Q31" i="27" s="1"/>
  <c r="AC31" i="27" s="1"/>
  <c r="BD32" i="27"/>
  <c r="AO32" i="27"/>
  <c r="BD31" i="27"/>
  <c r="AT31" i="27"/>
  <c r="CT31" i="27"/>
  <c r="CT28" i="27"/>
  <c r="CX28" i="27" s="1"/>
  <c r="CT25" i="27"/>
  <c r="CX25" i="27" s="1"/>
  <c r="CT22" i="27"/>
  <c r="CX22" i="27" s="1"/>
  <c r="CT19" i="27"/>
  <c r="CX19" i="27" s="1"/>
  <c r="CT16" i="27"/>
  <c r="CX16" i="27" s="1"/>
  <c r="CT13" i="27"/>
  <c r="CX13" i="27" s="1"/>
  <c r="CT10" i="27"/>
  <c r="CX10" i="27" s="1"/>
  <c r="CT7" i="27"/>
  <c r="CX7" i="27" s="1"/>
  <c r="CT4" i="27"/>
  <c r="CX4" i="27" s="1"/>
  <c r="CR5" i="27"/>
  <c r="CR6" i="27"/>
  <c r="CR7" i="27"/>
  <c r="CR8" i="27"/>
  <c r="CR9" i="27"/>
  <c r="CR10" i="27"/>
  <c r="CR11" i="27"/>
  <c r="CR12" i="27"/>
  <c r="CR13" i="27"/>
  <c r="CR14" i="27"/>
  <c r="CR15" i="27"/>
  <c r="CR16" i="27"/>
  <c r="CR17" i="27"/>
  <c r="CR18" i="27"/>
  <c r="CR19" i="27"/>
  <c r="CR20" i="27"/>
  <c r="CR21" i="27"/>
  <c r="CR22" i="27"/>
  <c r="CW22" i="27" s="1"/>
  <c r="CR23" i="27"/>
  <c r="CR24" i="27"/>
  <c r="CR25" i="27"/>
  <c r="CR26" i="27"/>
  <c r="CR27" i="27"/>
  <c r="CR28" i="27"/>
  <c r="CW28" i="27" s="1"/>
  <c r="CR29" i="27"/>
  <c r="CR4" i="27"/>
  <c r="CL31" i="27"/>
  <c r="CL28" i="27"/>
  <c r="CL25" i="27"/>
  <c r="CL22" i="27"/>
  <c r="CL19" i="27"/>
  <c r="CL16" i="27"/>
  <c r="CL13" i="27"/>
  <c r="CL10" i="27"/>
  <c r="CL7" i="27"/>
  <c r="CL4" i="27"/>
  <c r="CH5" i="27"/>
  <c r="CH6" i="27"/>
  <c r="CH7" i="27"/>
  <c r="CH8" i="27"/>
  <c r="CH9" i="27"/>
  <c r="CH10" i="27"/>
  <c r="CH11" i="27"/>
  <c r="CH12" i="27"/>
  <c r="CH13" i="27"/>
  <c r="CH14" i="27"/>
  <c r="CH15" i="27"/>
  <c r="CH16" i="27"/>
  <c r="CH17" i="27"/>
  <c r="CH18" i="27"/>
  <c r="CH19" i="27"/>
  <c r="CH20" i="27"/>
  <c r="CH21" i="27"/>
  <c r="CH22" i="27"/>
  <c r="CH23" i="27"/>
  <c r="CH24" i="27"/>
  <c r="CH25" i="27"/>
  <c r="CH26" i="27"/>
  <c r="CH27" i="27"/>
  <c r="CH28" i="27"/>
  <c r="CH29" i="27"/>
  <c r="CH4" i="27"/>
  <c r="BX28" i="27"/>
  <c r="BX25" i="27"/>
  <c r="BX22" i="27"/>
  <c r="BX19" i="27"/>
  <c r="BX16" i="27"/>
  <c r="BX13" i="27"/>
  <c r="BX10" i="27"/>
  <c r="BX7" i="27"/>
  <c r="BX4" i="27"/>
  <c r="BR28" i="27"/>
  <c r="BR25" i="27"/>
  <c r="BR22" i="27"/>
  <c r="BR19" i="27"/>
  <c r="BR16" i="27"/>
  <c r="BR13" i="27"/>
  <c r="BR10" i="27"/>
  <c r="BR7" i="27"/>
  <c r="BR4" i="27"/>
  <c r="BA28" i="27"/>
  <c r="BA25" i="27"/>
  <c r="BA22" i="27"/>
  <c r="BA19" i="27"/>
  <c r="BA16" i="27"/>
  <c r="BA13" i="27"/>
  <c r="BA10" i="27"/>
  <c r="BA7" i="27"/>
  <c r="BA4" i="27"/>
  <c r="D30" i="27"/>
  <c r="AS28" i="27"/>
  <c r="AS25" i="27"/>
  <c r="AS22" i="27"/>
  <c r="AS19" i="27"/>
  <c r="AS16" i="27"/>
  <c r="AS13" i="27"/>
  <c r="AS10" i="27"/>
  <c r="AS7" i="27"/>
  <c r="AS4" i="27"/>
  <c r="AA31" i="27"/>
  <c r="AA28" i="27"/>
  <c r="AA25" i="27"/>
  <c r="AA22" i="27"/>
  <c r="AA19" i="27"/>
  <c r="AA16" i="27"/>
  <c r="AA13" i="27"/>
  <c r="AA10" i="27"/>
  <c r="AA7" i="27"/>
  <c r="AA4" i="27"/>
  <c r="U31" i="27"/>
  <c r="U28" i="27"/>
  <c r="U25" i="27"/>
  <c r="U22" i="27"/>
  <c r="U19" i="27"/>
  <c r="U16" i="27"/>
  <c r="U13" i="27"/>
  <c r="U10" i="27"/>
  <c r="U7" i="27"/>
  <c r="U4" i="27"/>
  <c r="V31" i="27" l="1"/>
  <c r="CX34" i="27"/>
  <c r="CX36" i="27"/>
  <c r="CX35" i="27"/>
  <c r="DA7" i="27"/>
  <c r="DA31" i="27"/>
  <c r="DA4" i="27"/>
  <c r="DA28" i="27"/>
  <c r="CY25" i="27"/>
  <c r="U36" i="27"/>
  <c r="U35" i="27"/>
  <c r="U34" i="27"/>
  <c r="CY14" i="27"/>
  <c r="DA22" i="27"/>
  <c r="CY24" i="27"/>
  <c r="CW7" i="27"/>
  <c r="CW4" i="27"/>
  <c r="AS34" i="27"/>
  <c r="BA36" i="27"/>
  <c r="CY27" i="27"/>
  <c r="CO19" i="27"/>
  <c r="DA10" i="27"/>
  <c r="CW13" i="27"/>
  <c r="CY18" i="27"/>
  <c r="CO22" i="27"/>
  <c r="DA16" i="27"/>
  <c r="CY28" i="27"/>
  <c r="DA19" i="27"/>
  <c r="CY29" i="27"/>
  <c r="DA25" i="27"/>
  <c r="CW19" i="27"/>
  <c r="CW16" i="27"/>
  <c r="DA13" i="27"/>
  <c r="CW10" i="27"/>
  <c r="CW25" i="27"/>
  <c r="CO4" i="27"/>
  <c r="BR36" i="27"/>
  <c r="CY9" i="27"/>
  <c r="CY8" i="27"/>
  <c r="AS36" i="27"/>
  <c r="CY16" i="27"/>
  <c r="CY15" i="27"/>
  <c r="CO13" i="27"/>
  <c r="AS35" i="27"/>
  <c r="CO7" i="27"/>
  <c r="CY11" i="27"/>
  <c r="CY12" i="27"/>
  <c r="BR35" i="27"/>
  <c r="CY10" i="27"/>
  <c r="BR34" i="27"/>
  <c r="BA34" i="27"/>
  <c r="BA35" i="27"/>
  <c r="CY17" i="27"/>
  <c r="CY22" i="27"/>
  <c r="CY13" i="27"/>
  <c r="CO16" i="27"/>
  <c r="CY20" i="27"/>
  <c r="CY5" i="27"/>
  <c r="CY23" i="27"/>
  <c r="CO25" i="27"/>
  <c r="CY7" i="27"/>
  <c r="DD7" i="27" s="1"/>
  <c r="CY26" i="27"/>
  <c r="CY19" i="27"/>
  <c r="CY21" i="27"/>
  <c r="CO28" i="27"/>
  <c r="CO10" i="27"/>
  <c r="CY4" i="27"/>
  <c r="CY6" i="27"/>
  <c r="BX36" i="27"/>
  <c r="BX35" i="27"/>
  <c r="BX34" i="27"/>
  <c r="AA36" i="27"/>
  <c r="AA35" i="27"/>
  <c r="AA34" i="27"/>
  <c r="BE31" i="27"/>
  <c r="BC30" i="27"/>
  <c r="BC29" i="27"/>
  <c r="BE28" i="27"/>
  <c r="BC28" i="27"/>
  <c r="BC27" i="27"/>
  <c r="BC26" i="27"/>
  <c r="BE25" i="27"/>
  <c r="BC25" i="27"/>
  <c r="BC24" i="27"/>
  <c r="BC23" i="27"/>
  <c r="BE22" i="27"/>
  <c r="BC22" i="27"/>
  <c r="BC21" i="27"/>
  <c r="BC20" i="27"/>
  <c r="BE19" i="27"/>
  <c r="BC19" i="27"/>
  <c r="BC18" i="27"/>
  <c r="BC17" i="27"/>
  <c r="BE16" i="27"/>
  <c r="BC16" i="27"/>
  <c r="BC15" i="27"/>
  <c r="BC14" i="27"/>
  <c r="BE13" i="27"/>
  <c r="BC13" i="27"/>
  <c r="BC12" i="27"/>
  <c r="BC11" i="27"/>
  <c r="BE10" i="27"/>
  <c r="BC10" i="27"/>
  <c r="BC9" i="27"/>
  <c r="BC8" i="27"/>
  <c r="BE7" i="27"/>
  <c r="BC7" i="27"/>
  <c r="BC6" i="27"/>
  <c r="BC5" i="27"/>
  <c r="BE4" i="27"/>
  <c r="BC4" i="27"/>
  <c r="AB31" i="27"/>
  <c r="AB4" i="27"/>
  <c r="E5" i="27"/>
  <c r="E6" i="27"/>
  <c r="E7" i="27"/>
  <c r="E8" i="27"/>
  <c r="E9" i="27"/>
  <c r="E10" i="27"/>
  <c r="E11" i="27"/>
  <c r="AM11" i="27" s="1"/>
  <c r="E12" i="27"/>
  <c r="E13" i="27"/>
  <c r="E14" i="27"/>
  <c r="E15" i="27"/>
  <c r="E16" i="27"/>
  <c r="E17" i="27"/>
  <c r="E18" i="27"/>
  <c r="E19" i="27"/>
  <c r="AM19" i="27" s="1"/>
  <c r="E20" i="27"/>
  <c r="E21" i="27"/>
  <c r="E22" i="27"/>
  <c r="E23" i="27"/>
  <c r="E24" i="27"/>
  <c r="E25" i="27"/>
  <c r="E26" i="27"/>
  <c r="E27" i="27"/>
  <c r="AM27" i="27" s="1"/>
  <c r="E28" i="27"/>
  <c r="E29" i="27"/>
  <c r="E30" i="27"/>
  <c r="E4" i="27"/>
  <c r="AD31" i="27"/>
  <c r="AH31" i="27" s="1"/>
  <c r="AB30" i="27"/>
  <c r="AB29" i="27"/>
  <c r="AD28" i="27"/>
  <c r="AB28" i="27"/>
  <c r="AB27" i="27"/>
  <c r="AB26" i="27"/>
  <c r="AD25" i="27"/>
  <c r="AB25" i="27"/>
  <c r="AB24" i="27"/>
  <c r="AB23" i="27"/>
  <c r="AD22" i="27"/>
  <c r="AB22" i="27"/>
  <c r="AB21" i="27"/>
  <c r="AB20" i="27"/>
  <c r="AD19" i="27"/>
  <c r="AB19" i="27"/>
  <c r="AB18" i="27"/>
  <c r="AB17" i="27"/>
  <c r="AD16" i="27"/>
  <c r="AB16" i="27"/>
  <c r="AB15" i="27"/>
  <c r="AB14" i="27"/>
  <c r="AD13" i="27"/>
  <c r="AB13" i="27"/>
  <c r="AB12" i="27"/>
  <c r="AB11" i="27"/>
  <c r="AD10" i="27"/>
  <c r="AB10" i="27"/>
  <c r="AB9" i="27"/>
  <c r="AB8" i="27"/>
  <c r="AD7" i="27"/>
  <c r="AB7" i="27"/>
  <c r="AB6" i="27"/>
  <c r="AB5" i="27"/>
  <c r="AD4" i="27"/>
  <c r="DD4" i="27" l="1"/>
  <c r="DD28" i="27"/>
  <c r="DD25" i="27"/>
  <c r="DD19" i="27"/>
  <c r="CW34" i="27"/>
  <c r="DD22" i="27"/>
  <c r="CW36" i="27"/>
  <c r="BI31" i="27"/>
  <c r="BH31" i="27"/>
  <c r="DD13" i="27"/>
  <c r="CW35" i="27"/>
  <c r="DD10" i="27"/>
  <c r="DD16" i="27"/>
  <c r="CO36" i="27"/>
  <c r="CO35" i="27"/>
  <c r="BH16" i="27"/>
  <c r="BH7" i="27"/>
  <c r="BH10" i="27"/>
  <c r="BH28" i="27"/>
  <c r="BH25" i="27"/>
  <c r="BH4" i="27"/>
  <c r="BH22" i="27"/>
  <c r="BH13" i="27"/>
  <c r="BH19" i="27"/>
  <c r="CO34" i="27"/>
  <c r="AG7" i="27"/>
  <c r="AG19" i="27"/>
  <c r="AG4" i="27"/>
  <c r="AG13" i="27"/>
  <c r="AG10" i="27"/>
  <c r="AG28" i="27"/>
  <c r="AG22" i="27"/>
  <c r="AG16" i="27"/>
  <c r="AG25" i="27"/>
  <c r="AG31" i="27"/>
  <c r="P19" i="27"/>
  <c r="Q19" i="27" s="1"/>
  <c r="P21" i="27"/>
  <c r="Q21" i="27" s="1"/>
  <c r="AM21" i="27"/>
  <c r="AN21" i="27" s="1"/>
  <c r="P20" i="27"/>
  <c r="Q20" i="27" s="1"/>
  <c r="AM20" i="27"/>
  <c r="AN20" i="27" s="1"/>
  <c r="P23" i="27"/>
  <c r="Q23" i="27" s="1"/>
  <c r="AM23" i="27"/>
  <c r="P29" i="27"/>
  <c r="Q29" i="27" s="1"/>
  <c r="AM29" i="27"/>
  <c r="AN29" i="27" s="1"/>
  <c r="P25" i="27"/>
  <c r="Q25" i="27" s="1"/>
  <c r="AM25" i="27"/>
  <c r="P18" i="27"/>
  <c r="Q18" i="27" s="1"/>
  <c r="AM18" i="27"/>
  <c r="AN18" i="27" s="1"/>
  <c r="P17" i="27"/>
  <c r="Q17" i="27" s="1"/>
  <c r="AM17" i="27"/>
  <c r="AN17" i="27" s="1"/>
  <c r="P15" i="27"/>
  <c r="Q15" i="27" s="1"/>
  <c r="AM15" i="27"/>
  <c r="AN15" i="27" s="1"/>
  <c r="P14" i="27"/>
  <c r="Q14" i="27" s="1"/>
  <c r="AM14" i="27"/>
  <c r="AN14" i="27" s="1"/>
  <c r="P13" i="27"/>
  <c r="Q13" i="27" s="1"/>
  <c r="AM13" i="27"/>
  <c r="AN13" i="27" s="1"/>
  <c r="AO13" i="27" s="1"/>
  <c r="AU13" i="27" s="1"/>
  <c r="P28" i="27"/>
  <c r="Q28" i="27" s="1"/>
  <c r="AM28" i="27"/>
  <c r="AN28" i="27" s="1"/>
  <c r="AO28" i="27" s="1"/>
  <c r="AU28" i="27" s="1"/>
  <c r="P12" i="27"/>
  <c r="Q12" i="27" s="1"/>
  <c r="AM12" i="27"/>
  <c r="P30" i="27"/>
  <c r="Q30" i="27" s="1"/>
  <c r="AM30" i="27"/>
  <c r="P26" i="27"/>
  <c r="Q26" i="27" s="1"/>
  <c r="AM26" i="27"/>
  <c r="AN26" i="27" s="1"/>
  <c r="P24" i="27"/>
  <c r="Q24" i="27" s="1"/>
  <c r="AM24" i="27"/>
  <c r="AN24" i="27" s="1"/>
  <c r="P22" i="27"/>
  <c r="Q22" i="27" s="1"/>
  <c r="AM22" i="27"/>
  <c r="AN22" i="27" s="1"/>
  <c r="AO22" i="27" s="1"/>
  <c r="AU22" i="27" s="1"/>
  <c r="P10" i="27"/>
  <c r="Q10" i="27" s="1"/>
  <c r="AM10" i="27"/>
  <c r="AN10" i="27" s="1"/>
  <c r="AO10" i="27" s="1"/>
  <c r="AU10" i="27" s="1"/>
  <c r="P9" i="27"/>
  <c r="Q9" i="27" s="1"/>
  <c r="AM9" i="27"/>
  <c r="AN9" i="27" s="1"/>
  <c r="P4" i="27"/>
  <c r="Q4" i="27" s="1"/>
  <c r="AM4" i="27"/>
  <c r="AN4" i="27" s="1"/>
  <c r="AO4" i="27" s="1"/>
  <c r="AU4" i="27" s="1"/>
  <c r="P8" i="27"/>
  <c r="Q8" i="27" s="1"/>
  <c r="AM8" i="27"/>
  <c r="AN8" i="27" s="1"/>
  <c r="P7" i="27"/>
  <c r="Q7" i="27" s="1"/>
  <c r="AM7" i="27"/>
  <c r="AN7" i="27" s="1"/>
  <c r="AO7" i="27" s="1"/>
  <c r="AU7" i="27" s="1"/>
  <c r="P5" i="27"/>
  <c r="Q5" i="27" s="1"/>
  <c r="AM5" i="27"/>
  <c r="AN5" i="27" s="1"/>
  <c r="P6" i="27"/>
  <c r="Q6" i="27" s="1"/>
  <c r="AM6" i="27"/>
  <c r="AN6" i="27" s="1"/>
  <c r="P27" i="27"/>
  <c r="Q27" i="27" s="1"/>
  <c r="P11" i="27"/>
  <c r="Q11" i="27" s="1"/>
  <c r="P16" i="27"/>
  <c r="Q16" i="27" s="1"/>
  <c r="AM16" i="27"/>
  <c r="AN16" i="27" s="1"/>
  <c r="AO16" i="27" s="1"/>
  <c r="AU16" i="27" s="1"/>
  <c r="AN19" i="27"/>
  <c r="AO19" i="27" s="1"/>
  <c r="AU19" i="27" s="1"/>
  <c r="AN11" i="27"/>
  <c r="AN27" i="27"/>
  <c r="Q9" i="43"/>
  <c r="Q8" i="43"/>
  <c r="Q7" i="43"/>
  <c r="Q6" i="43"/>
  <c r="Q5" i="43"/>
  <c r="Q4" i="43"/>
  <c r="Q3" i="43"/>
  <c r="P9" i="43"/>
  <c r="P8" i="43"/>
  <c r="P7" i="43"/>
  <c r="P6" i="43"/>
  <c r="P5" i="43"/>
  <c r="P4" i="43"/>
  <c r="P3" i="43"/>
  <c r="AC24" i="27" l="1"/>
  <c r="AC17" i="27"/>
  <c r="AC26" i="27"/>
  <c r="V13" i="27"/>
  <c r="AC18" i="27"/>
  <c r="AC20" i="27"/>
  <c r="AC23" i="27"/>
  <c r="V28" i="27"/>
  <c r="AC5" i="27"/>
  <c r="V16" i="27"/>
  <c r="V7" i="27"/>
  <c r="V10" i="27"/>
  <c r="AC30" i="27"/>
  <c r="AC14" i="27"/>
  <c r="V25" i="27"/>
  <c r="AC21" i="27"/>
  <c r="AC9" i="27"/>
  <c r="AC11" i="27"/>
  <c r="V19" i="27"/>
  <c r="AC6" i="27"/>
  <c r="AC27" i="27"/>
  <c r="AC8" i="27"/>
  <c r="V22" i="27"/>
  <c r="AC12" i="27"/>
  <c r="AC15" i="27"/>
  <c r="AC29" i="27"/>
  <c r="V4" i="27"/>
  <c r="DD35" i="27"/>
  <c r="BD8" i="27"/>
  <c r="AO8" i="27"/>
  <c r="BD15" i="27"/>
  <c r="AO15" i="27"/>
  <c r="BD29" i="27"/>
  <c r="AO29" i="27"/>
  <c r="DD36" i="27"/>
  <c r="BD14" i="27"/>
  <c r="AO14" i="27"/>
  <c r="BD21" i="27"/>
  <c r="AO21" i="27"/>
  <c r="BD6" i="27"/>
  <c r="AO6" i="27"/>
  <c r="BD24" i="27"/>
  <c r="AO24" i="27"/>
  <c r="BD17" i="27"/>
  <c r="AO17" i="27"/>
  <c r="BD27" i="27"/>
  <c r="AO27" i="27"/>
  <c r="BD11" i="27"/>
  <c r="AO11" i="27"/>
  <c r="BD5" i="27"/>
  <c r="AO5" i="27"/>
  <c r="BD9" i="27"/>
  <c r="AO9" i="27"/>
  <c r="BD26" i="27"/>
  <c r="AO26" i="27"/>
  <c r="BD18" i="27"/>
  <c r="AO18" i="27"/>
  <c r="BD20" i="27"/>
  <c r="AO20" i="27"/>
  <c r="AN30" i="27"/>
  <c r="CI30" i="27"/>
  <c r="CJ30" i="27" s="1"/>
  <c r="CZ30" i="27" s="1"/>
  <c r="DD34" i="27"/>
  <c r="BD19" i="27"/>
  <c r="BI19" i="27" s="1"/>
  <c r="AT19" i="27"/>
  <c r="BD16" i="27"/>
  <c r="BI16" i="27" s="1"/>
  <c r="AT16" i="27"/>
  <c r="BD4" i="27"/>
  <c r="BI4" i="27" s="1"/>
  <c r="AT4" i="27"/>
  <c r="BD13" i="27"/>
  <c r="BI13" i="27" s="1"/>
  <c r="AT13" i="27"/>
  <c r="BD7" i="27"/>
  <c r="BI7" i="27" s="1"/>
  <c r="AT7" i="27"/>
  <c r="BD10" i="27"/>
  <c r="BI10" i="27" s="1"/>
  <c r="AT10" i="27"/>
  <c r="BH36" i="27"/>
  <c r="BH35" i="27"/>
  <c r="BH34" i="27"/>
  <c r="BD22" i="27"/>
  <c r="BI22" i="27" s="1"/>
  <c r="AT22" i="27"/>
  <c r="BD28" i="27"/>
  <c r="BI28" i="27" s="1"/>
  <c r="AT28" i="27"/>
  <c r="AC28" i="27"/>
  <c r="AH28" i="27" s="1"/>
  <c r="AC10" i="27"/>
  <c r="AH10" i="27" s="1"/>
  <c r="AC19" i="27"/>
  <c r="AH19" i="27" s="1"/>
  <c r="AG34" i="27"/>
  <c r="AG36" i="27"/>
  <c r="AG35" i="27"/>
  <c r="AC16" i="27"/>
  <c r="AH16" i="27" s="1"/>
  <c r="AC7" i="27"/>
  <c r="AH7" i="27" s="1"/>
  <c r="AC13" i="27"/>
  <c r="AH13" i="27" s="1"/>
  <c r="AC4" i="27"/>
  <c r="AH4" i="27" s="1"/>
  <c r="AC25" i="27"/>
  <c r="AH25" i="27" s="1"/>
  <c r="AC22" i="27"/>
  <c r="AH22" i="27" s="1"/>
  <c r="AN12" i="27"/>
  <c r="AN23" i="27"/>
  <c r="AN25" i="27"/>
  <c r="AO25" i="27" s="1"/>
  <c r="AU25" i="27" s="1"/>
  <c r="AU35" i="27" s="1"/>
  <c r="I14" i="50"/>
  <c r="H14" i="50"/>
  <c r="G14" i="50"/>
  <c r="F14" i="50"/>
  <c r="E14" i="50"/>
  <c r="D14" i="50"/>
  <c r="C14" i="50"/>
  <c r="I13" i="50"/>
  <c r="H13" i="50"/>
  <c r="G13" i="50"/>
  <c r="F13" i="50"/>
  <c r="E13" i="50"/>
  <c r="D13" i="50"/>
  <c r="C13" i="50"/>
  <c r="I12" i="50"/>
  <c r="H12" i="50"/>
  <c r="G12" i="50"/>
  <c r="F12" i="50"/>
  <c r="E12" i="50"/>
  <c r="D12" i="50"/>
  <c r="C12" i="50"/>
  <c r="I14" i="49"/>
  <c r="H14" i="49"/>
  <c r="G14" i="49"/>
  <c r="F14" i="49"/>
  <c r="E14" i="49"/>
  <c r="D14" i="49"/>
  <c r="C14" i="49"/>
  <c r="I13" i="49"/>
  <c r="H13" i="49"/>
  <c r="G13" i="49"/>
  <c r="F13" i="49"/>
  <c r="E13" i="49"/>
  <c r="D13" i="49"/>
  <c r="C13" i="49"/>
  <c r="I12" i="49"/>
  <c r="H12" i="49"/>
  <c r="G12" i="49"/>
  <c r="F12" i="49"/>
  <c r="E12" i="49"/>
  <c r="D12" i="49"/>
  <c r="C12" i="49"/>
  <c r="I14" i="48"/>
  <c r="H14" i="48"/>
  <c r="G14" i="48"/>
  <c r="F14" i="48"/>
  <c r="E14" i="48"/>
  <c r="D14" i="48"/>
  <c r="I13" i="48"/>
  <c r="H13" i="48"/>
  <c r="G13" i="48"/>
  <c r="F13" i="48"/>
  <c r="E13" i="48"/>
  <c r="D13" i="48"/>
  <c r="I12" i="48"/>
  <c r="H12" i="48"/>
  <c r="G12" i="48"/>
  <c r="F12" i="48"/>
  <c r="E12" i="48"/>
  <c r="D12" i="48"/>
  <c r="C14" i="48"/>
  <c r="C13" i="48"/>
  <c r="C12" i="48"/>
  <c r="V36" i="27" l="1"/>
  <c r="V35" i="27"/>
  <c r="V34" i="27"/>
  <c r="AU36" i="27"/>
  <c r="AU34" i="27"/>
  <c r="BD30" i="27"/>
  <c r="AO30" i="27"/>
  <c r="CK30" i="27" s="1"/>
  <c r="BD23" i="27"/>
  <c r="AO23" i="27"/>
  <c r="BD12" i="27"/>
  <c r="AO12" i="27"/>
  <c r="BD25" i="27"/>
  <c r="BI25" i="27" s="1"/>
  <c r="BI36" i="27" s="1"/>
  <c r="AT25" i="27"/>
  <c r="AT35" i="27" s="1"/>
  <c r="AH36" i="27"/>
  <c r="AH35" i="27"/>
  <c r="AH34" i="27"/>
  <c r="D3" i="46"/>
  <c r="D4" i="46"/>
  <c r="D6" i="46"/>
  <c r="D7" i="46"/>
  <c r="D3" i="45"/>
  <c r="E3" i="45"/>
  <c r="D4" i="45"/>
  <c r="E4" i="45"/>
  <c r="D5" i="45"/>
  <c r="E5" i="45"/>
  <c r="D6" i="45"/>
  <c r="E6" i="45"/>
  <c r="D11" i="45"/>
  <c r="E11" i="45"/>
  <c r="D12" i="45"/>
  <c r="E12" i="45"/>
  <c r="D13" i="45"/>
  <c r="E13" i="45"/>
  <c r="D14" i="45"/>
  <c r="E14" i="45"/>
  <c r="AT34" i="27" l="1"/>
  <c r="BI34" i="27"/>
  <c r="BI35" i="27"/>
  <c r="AT36" i="27"/>
  <c r="B30" i="42"/>
  <c r="B31" i="42"/>
  <c r="B32" i="42"/>
  <c r="D32" i="42"/>
  <c r="D31" i="42" l="1"/>
  <c r="D30" i="42"/>
  <c r="K33" i="40"/>
  <c r="K32" i="40"/>
  <c r="K31" i="40"/>
  <c r="L5" i="40"/>
  <c r="L8" i="40"/>
  <c r="L11" i="40"/>
  <c r="L14" i="40"/>
  <c r="L17" i="40"/>
  <c r="L20" i="40"/>
  <c r="L23" i="40"/>
  <c r="L26" i="40"/>
  <c r="L29" i="40"/>
  <c r="L2" i="40"/>
  <c r="C11" i="35"/>
  <c r="D11" i="35"/>
  <c r="E11" i="35"/>
  <c r="F11" i="35"/>
  <c r="G11" i="35"/>
  <c r="H11" i="35"/>
  <c r="B11" i="35"/>
  <c r="C7" i="38"/>
  <c r="D7" i="38"/>
  <c r="E7" i="38"/>
  <c r="F7" i="38"/>
  <c r="G7" i="38"/>
  <c r="B7" i="38"/>
  <c r="H12" i="41"/>
  <c r="G12" i="41"/>
  <c r="F12" i="41"/>
  <c r="E12" i="41"/>
  <c r="D12" i="41"/>
  <c r="C12" i="41"/>
  <c r="B12" i="41"/>
  <c r="T33" i="39"/>
  <c r="T32" i="39"/>
  <c r="T31" i="39"/>
  <c r="U29" i="39"/>
  <c r="H29" i="39"/>
  <c r="G29" i="39"/>
  <c r="G28" i="39"/>
  <c r="G27" i="39"/>
  <c r="U26" i="39"/>
  <c r="H26" i="39"/>
  <c r="G26" i="39"/>
  <c r="G25" i="39"/>
  <c r="G24" i="39"/>
  <c r="U23" i="39"/>
  <c r="H23" i="39"/>
  <c r="I23" i="39" s="1"/>
  <c r="G23" i="39"/>
  <c r="G22" i="39"/>
  <c r="G21" i="39"/>
  <c r="U20" i="39"/>
  <c r="H20" i="39"/>
  <c r="G20" i="39"/>
  <c r="G19" i="39"/>
  <c r="G18" i="39"/>
  <c r="U17" i="39"/>
  <c r="H17" i="39"/>
  <c r="G17" i="39"/>
  <c r="G16" i="39"/>
  <c r="G15" i="39"/>
  <c r="U14" i="39"/>
  <c r="H14" i="39"/>
  <c r="I14" i="39" s="1"/>
  <c r="G14" i="39"/>
  <c r="G13" i="39"/>
  <c r="G12" i="39"/>
  <c r="U11" i="39"/>
  <c r="H11" i="39"/>
  <c r="G11" i="39"/>
  <c r="G10" i="39"/>
  <c r="G9" i="39"/>
  <c r="U8" i="39"/>
  <c r="H8" i="39"/>
  <c r="G8" i="39"/>
  <c r="G7" i="39"/>
  <c r="G6" i="39"/>
  <c r="U5" i="39"/>
  <c r="H5" i="39"/>
  <c r="G5" i="39"/>
  <c r="G4" i="39"/>
  <c r="G3" i="39"/>
  <c r="U2" i="39"/>
  <c r="H2" i="39"/>
  <c r="G2" i="39"/>
  <c r="L33" i="40" l="1"/>
  <c r="I11" i="39"/>
  <c r="I5" i="39"/>
  <c r="U32" i="39"/>
  <c r="U31" i="39"/>
  <c r="U33" i="39"/>
  <c r="L32" i="40"/>
  <c r="I8" i="39"/>
  <c r="I17" i="39"/>
  <c r="I26" i="39"/>
  <c r="I20" i="39"/>
  <c r="I29" i="39"/>
  <c r="L31" i="40"/>
  <c r="H33" i="39"/>
  <c r="H32" i="39"/>
  <c r="I2" i="39"/>
  <c r="H31" i="39"/>
  <c r="I33" i="39" l="1"/>
  <c r="I31" i="39"/>
  <c r="I32" i="39"/>
  <c r="P29" i="40" l="1"/>
  <c r="D29" i="40"/>
  <c r="D28" i="40"/>
  <c r="D27" i="40"/>
  <c r="P26" i="40"/>
  <c r="D26" i="40"/>
  <c r="D25" i="40"/>
  <c r="D24" i="40"/>
  <c r="P23" i="40"/>
  <c r="D23" i="40"/>
  <c r="D22" i="40"/>
  <c r="D21" i="40"/>
  <c r="P20" i="40"/>
  <c r="D20" i="40"/>
  <c r="D19" i="40"/>
  <c r="D18" i="40"/>
  <c r="P17" i="40"/>
  <c r="D17" i="40"/>
  <c r="D16" i="40"/>
  <c r="D15" i="40"/>
  <c r="P14" i="40"/>
  <c r="Q14" i="40" s="1"/>
  <c r="D14" i="40"/>
  <c r="D13" i="40"/>
  <c r="D12" i="40"/>
  <c r="P11" i="40"/>
  <c r="D11" i="40"/>
  <c r="D10" i="40"/>
  <c r="D9" i="40"/>
  <c r="P8" i="40"/>
  <c r="Q8" i="40" s="1"/>
  <c r="D8" i="40"/>
  <c r="D7" i="40"/>
  <c r="D6" i="40"/>
  <c r="P5" i="40"/>
  <c r="D5" i="40"/>
  <c r="D4" i="40"/>
  <c r="D3" i="40"/>
  <c r="P2" i="40"/>
  <c r="D2" i="40"/>
  <c r="O2" i="31"/>
  <c r="Q20" i="40" l="1"/>
  <c r="Q23" i="40"/>
  <c r="Q26" i="40"/>
  <c r="Q29" i="40"/>
  <c r="Q5" i="40"/>
  <c r="Q11" i="40"/>
  <c r="Q17" i="40"/>
  <c r="P33" i="40"/>
  <c r="P31" i="40"/>
  <c r="Q2" i="40"/>
  <c r="P32" i="40"/>
  <c r="Q33" i="40" l="1"/>
  <c r="Q32" i="40"/>
  <c r="Q31" i="40"/>
  <c r="K26" i="29" l="1"/>
  <c r="K25" i="29"/>
  <c r="K24" i="29"/>
  <c r="K23" i="29"/>
  <c r="K19" i="29"/>
  <c r="K20" i="29"/>
  <c r="K18" i="29"/>
  <c r="D31" i="18" l="1"/>
  <c r="L13" i="36" l="1"/>
  <c r="L12" i="36"/>
  <c r="L11" i="36"/>
  <c r="L10" i="36"/>
  <c r="L9" i="36"/>
  <c r="L8" i="36"/>
  <c r="L7" i="36"/>
  <c r="L6" i="36"/>
  <c r="I11" i="36" l="1"/>
  <c r="I10" i="36"/>
  <c r="I9" i="36"/>
  <c r="I8" i="36"/>
  <c r="I7" i="36"/>
  <c r="I6" i="36"/>
  <c r="I5" i="36"/>
  <c r="I4" i="36"/>
  <c r="E30" i="36" l="1"/>
  <c r="E29" i="36"/>
  <c r="E28" i="36"/>
  <c r="E27" i="36"/>
  <c r="E26" i="36"/>
  <c r="E25" i="36"/>
  <c r="E24" i="36"/>
  <c r="E23" i="36"/>
  <c r="E22" i="36"/>
  <c r="E21" i="36"/>
  <c r="E20" i="36"/>
  <c r="E19" i="36"/>
  <c r="E18" i="36"/>
  <c r="E17" i="36"/>
  <c r="E16" i="36"/>
  <c r="E15" i="36"/>
  <c r="E14" i="36"/>
  <c r="E13" i="36"/>
  <c r="E12" i="36"/>
  <c r="E11" i="36"/>
  <c r="E10" i="36"/>
  <c r="E9" i="36"/>
  <c r="E8" i="36"/>
  <c r="E7" i="36"/>
  <c r="E6" i="36"/>
  <c r="E5" i="36"/>
  <c r="E4" i="36"/>
  <c r="B31" i="36" l="1"/>
  <c r="B30" i="36"/>
  <c r="B29" i="36"/>
  <c r="B28" i="36"/>
  <c r="B27" i="36"/>
  <c r="B26" i="36"/>
  <c r="B25" i="36"/>
  <c r="B24" i="36"/>
  <c r="B23" i="36"/>
  <c r="B22" i="36"/>
  <c r="B21" i="36"/>
  <c r="B20" i="36"/>
  <c r="B19" i="36"/>
  <c r="B18" i="36"/>
  <c r="B17" i="36"/>
  <c r="B16" i="36"/>
  <c r="B15" i="36"/>
  <c r="B14" i="36"/>
  <c r="B13" i="36"/>
  <c r="B12" i="36"/>
  <c r="B11" i="36"/>
  <c r="B10" i="36"/>
  <c r="B9" i="36"/>
  <c r="B8" i="36"/>
  <c r="B7" i="36"/>
  <c r="B6" i="36"/>
  <c r="B5" i="36"/>
  <c r="B4" i="36"/>
  <c r="D4" i="36" s="1"/>
  <c r="S31" i="36" l="1"/>
  <c r="P31" i="36"/>
  <c r="H31" i="36"/>
  <c r="D31" i="36"/>
  <c r="R29" i="36"/>
  <c r="O29" i="36"/>
  <c r="S28" i="36"/>
  <c r="R28" i="36"/>
  <c r="P28" i="36"/>
  <c r="O28" i="36"/>
  <c r="N28" i="36"/>
  <c r="K28" i="36"/>
  <c r="H28" i="36"/>
  <c r="G28" i="36"/>
  <c r="D28" i="36"/>
  <c r="R27" i="36"/>
  <c r="O27" i="36"/>
  <c r="R26" i="36"/>
  <c r="O26" i="36"/>
  <c r="S25" i="36"/>
  <c r="R25" i="36"/>
  <c r="P25" i="36"/>
  <c r="O25" i="36"/>
  <c r="N25" i="36"/>
  <c r="K25" i="36"/>
  <c r="H25" i="36"/>
  <c r="G25" i="36"/>
  <c r="D25" i="36"/>
  <c r="R24" i="36"/>
  <c r="O24" i="36"/>
  <c r="R23" i="36"/>
  <c r="O23" i="36"/>
  <c r="S22" i="36"/>
  <c r="R22" i="36"/>
  <c r="P22" i="36"/>
  <c r="O22" i="36"/>
  <c r="N22" i="36"/>
  <c r="K22" i="36"/>
  <c r="H22" i="36"/>
  <c r="G22" i="36"/>
  <c r="D22" i="36"/>
  <c r="R21" i="36"/>
  <c r="O21" i="36"/>
  <c r="R20" i="36"/>
  <c r="O20" i="36"/>
  <c r="S19" i="36"/>
  <c r="R19" i="36"/>
  <c r="P19" i="36"/>
  <c r="Q19" i="36" s="1"/>
  <c r="O19" i="36"/>
  <c r="N19" i="36"/>
  <c r="K19" i="36"/>
  <c r="H19" i="36"/>
  <c r="G19" i="36"/>
  <c r="D19" i="36"/>
  <c r="R18" i="36"/>
  <c r="O18" i="36"/>
  <c r="R17" i="36"/>
  <c r="O17" i="36"/>
  <c r="S16" i="36"/>
  <c r="R16" i="36"/>
  <c r="P16" i="36"/>
  <c r="O16" i="36"/>
  <c r="N16" i="36"/>
  <c r="K16" i="36"/>
  <c r="H16" i="36"/>
  <c r="G16" i="36"/>
  <c r="D16" i="36"/>
  <c r="R15" i="36"/>
  <c r="O15" i="36"/>
  <c r="R14" i="36"/>
  <c r="O14" i="36"/>
  <c r="S13" i="36"/>
  <c r="T13" i="36" s="1"/>
  <c r="R13" i="36"/>
  <c r="P13" i="36"/>
  <c r="O13" i="36"/>
  <c r="N13" i="36"/>
  <c r="K13" i="36"/>
  <c r="H13" i="36"/>
  <c r="G13" i="36"/>
  <c r="D13" i="36"/>
  <c r="R12" i="36"/>
  <c r="O12" i="36"/>
  <c r="R11" i="36"/>
  <c r="O11" i="36"/>
  <c r="S10" i="36"/>
  <c r="R10" i="36"/>
  <c r="P10" i="36"/>
  <c r="O10" i="36"/>
  <c r="N10" i="36"/>
  <c r="K10" i="36"/>
  <c r="H10" i="36"/>
  <c r="G10" i="36"/>
  <c r="D10" i="36"/>
  <c r="R9" i="36"/>
  <c r="O9" i="36"/>
  <c r="R8" i="36"/>
  <c r="O8" i="36"/>
  <c r="S7" i="36"/>
  <c r="R7" i="36"/>
  <c r="P7" i="36"/>
  <c r="O7" i="36"/>
  <c r="N7" i="36"/>
  <c r="K7" i="36"/>
  <c r="H7" i="36"/>
  <c r="G7" i="36"/>
  <c r="D7" i="36"/>
  <c r="R6" i="36"/>
  <c r="O6" i="36"/>
  <c r="R5" i="36"/>
  <c r="S4" i="36"/>
  <c r="R4" i="36"/>
  <c r="P4" i="36"/>
  <c r="K4" i="36"/>
  <c r="H4" i="36"/>
  <c r="G4" i="36"/>
  <c r="Q10" i="36" l="1"/>
  <c r="Q13" i="36"/>
  <c r="T16" i="36"/>
  <c r="T19" i="36"/>
  <c r="Q25" i="36"/>
  <c r="T10" i="36"/>
  <c r="T4" i="36"/>
  <c r="T22" i="36"/>
  <c r="Q16" i="36"/>
  <c r="T28" i="36"/>
  <c r="Q7" i="36"/>
  <c r="T7" i="36"/>
  <c r="Q28" i="36"/>
  <c r="Q22" i="36"/>
  <c r="T25" i="36"/>
  <c r="L63" i="34"/>
  <c r="E63" i="34"/>
  <c r="L62" i="34"/>
  <c r="E62" i="34"/>
  <c r="L61" i="34"/>
  <c r="E61" i="34"/>
  <c r="L60" i="34"/>
  <c r="E60" i="34"/>
  <c r="L59" i="34"/>
  <c r="E59" i="34"/>
  <c r="L58" i="34"/>
  <c r="E58" i="34"/>
  <c r="L57" i="34"/>
  <c r="E57" i="34"/>
  <c r="L56" i="34"/>
  <c r="E56" i="34"/>
  <c r="L55" i="34"/>
  <c r="E55" i="34"/>
  <c r="L54" i="34"/>
  <c r="E54" i="34"/>
  <c r="L53" i="34"/>
  <c r="E53" i="34"/>
  <c r="L52" i="34"/>
  <c r="E52" i="34"/>
  <c r="L51" i="34"/>
  <c r="E51" i="34"/>
  <c r="L50" i="34"/>
  <c r="E50" i="34"/>
  <c r="L49" i="34"/>
  <c r="E49" i="34"/>
  <c r="L48" i="34"/>
  <c r="E48" i="34"/>
  <c r="L47" i="34"/>
  <c r="E47" i="34"/>
  <c r="L46" i="34"/>
  <c r="E46" i="34"/>
  <c r="L45" i="34"/>
  <c r="E45" i="34"/>
  <c r="L44" i="34"/>
  <c r="E44" i="34"/>
  <c r="L43" i="34"/>
  <c r="E43" i="34"/>
  <c r="L42" i="34"/>
  <c r="E42" i="34"/>
  <c r="L41" i="34"/>
  <c r="E41" i="34"/>
  <c r="L40" i="34"/>
  <c r="E40" i="34"/>
  <c r="L39" i="34"/>
  <c r="E39" i="34"/>
  <c r="L38" i="34"/>
  <c r="E38" i="34"/>
  <c r="L37" i="34"/>
  <c r="E37" i="34"/>
  <c r="L36" i="34"/>
  <c r="E36" i="34"/>
  <c r="L35" i="34"/>
  <c r="E35" i="34"/>
  <c r="L34" i="34"/>
  <c r="E34" i="34"/>
  <c r="L33" i="34"/>
  <c r="E33" i="34"/>
  <c r="L32" i="34"/>
  <c r="E32" i="34"/>
  <c r="L31" i="34"/>
  <c r="E31" i="34"/>
  <c r="L30" i="34"/>
  <c r="E30" i="34"/>
  <c r="L29" i="34"/>
  <c r="E29" i="34"/>
  <c r="L28" i="34"/>
  <c r="E28" i="34"/>
  <c r="L27" i="34"/>
  <c r="E27" i="34"/>
  <c r="L26" i="34"/>
  <c r="E26" i="34"/>
  <c r="L25" i="34"/>
  <c r="E25" i="34"/>
  <c r="L24" i="34"/>
  <c r="E24" i="34"/>
  <c r="Y23" i="34"/>
  <c r="X23" i="34"/>
  <c r="R23" i="34"/>
  <c r="Q23" i="34"/>
  <c r="L23" i="34"/>
  <c r="E23" i="34"/>
  <c r="Y22" i="34"/>
  <c r="X22" i="34"/>
  <c r="AA22" i="34" s="1"/>
  <c r="R22" i="34"/>
  <c r="Q22" i="34"/>
  <c r="L22" i="34"/>
  <c r="E22" i="34"/>
  <c r="Y21" i="34"/>
  <c r="X21" i="34"/>
  <c r="R21" i="34"/>
  <c r="Q21" i="34"/>
  <c r="L21" i="34"/>
  <c r="E21" i="34"/>
  <c r="Y20" i="34"/>
  <c r="X20" i="34"/>
  <c r="R20" i="34"/>
  <c r="Q20" i="34"/>
  <c r="AF20" i="34" s="1"/>
  <c r="L20" i="34"/>
  <c r="E20" i="34"/>
  <c r="Y19" i="34"/>
  <c r="X19" i="34"/>
  <c r="R19" i="34"/>
  <c r="Q19" i="34"/>
  <c r="L19" i="34"/>
  <c r="E19" i="34"/>
  <c r="Y18" i="34"/>
  <c r="X18" i="34"/>
  <c r="AA18" i="34" s="1"/>
  <c r="R18" i="34"/>
  <c r="Q18" i="34"/>
  <c r="L18" i="34"/>
  <c r="E18" i="34"/>
  <c r="Y17" i="34"/>
  <c r="X17" i="34"/>
  <c r="R17" i="34"/>
  <c r="Q17" i="34"/>
  <c r="L17" i="34"/>
  <c r="E17" i="34"/>
  <c r="Y16" i="34"/>
  <c r="X16" i="34"/>
  <c r="R16" i="34"/>
  <c r="Q16" i="34"/>
  <c r="L16" i="34"/>
  <c r="E16" i="34"/>
  <c r="Y15" i="34"/>
  <c r="X15" i="34"/>
  <c r="R15" i="34"/>
  <c r="Q15" i="34"/>
  <c r="L15" i="34"/>
  <c r="E15" i="34"/>
  <c r="Y14" i="34"/>
  <c r="X14" i="34"/>
  <c r="AA14" i="34" s="1"/>
  <c r="R14" i="34"/>
  <c r="Q14" i="34"/>
  <c r="L14" i="34"/>
  <c r="E14" i="34"/>
  <c r="Y13" i="34"/>
  <c r="X13" i="34"/>
  <c r="R13" i="34"/>
  <c r="Q13" i="34"/>
  <c r="L13" i="34"/>
  <c r="E13" i="34"/>
  <c r="Y12" i="34"/>
  <c r="X12" i="34"/>
  <c r="R12" i="34"/>
  <c r="Q12" i="34"/>
  <c r="L12" i="34"/>
  <c r="E12" i="34"/>
  <c r="Y11" i="34"/>
  <c r="X11" i="34"/>
  <c r="R11" i="34"/>
  <c r="Q11" i="34"/>
  <c r="L11" i="34"/>
  <c r="E11" i="34"/>
  <c r="Y10" i="34"/>
  <c r="X10" i="34"/>
  <c r="AA10" i="34" s="1"/>
  <c r="R10" i="34"/>
  <c r="Q10" i="34"/>
  <c r="L10" i="34"/>
  <c r="E10" i="34"/>
  <c r="Y9" i="34"/>
  <c r="X9" i="34"/>
  <c r="R9" i="34"/>
  <c r="Q9" i="34"/>
  <c r="L9" i="34"/>
  <c r="E9" i="34"/>
  <c r="Y8" i="34"/>
  <c r="X8" i="34"/>
  <c r="R8" i="34"/>
  <c r="Q8" i="34"/>
  <c r="L8" i="34"/>
  <c r="E8" i="34"/>
  <c r="Y7" i="34"/>
  <c r="X7" i="34"/>
  <c r="R7" i="34"/>
  <c r="Q7" i="34"/>
  <c r="L7" i="34"/>
  <c r="E7" i="34"/>
  <c r="Y6" i="34"/>
  <c r="X6" i="34"/>
  <c r="AA6" i="34" s="1"/>
  <c r="R6" i="34"/>
  <c r="Q6" i="34"/>
  <c r="L6" i="34"/>
  <c r="E6" i="34"/>
  <c r="Y5" i="34"/>
  <c r="X5" i="34"/>
  <c r="R5" i="34"/>
  <c r="Q5" i="34"/>
  <c r="AF5" i="34" s="1"/>
  <c r="L5" i="34"/>
  <c r="E5" i="34"/>
  <c r="Y4" i="34"/>
  <c r="X4" i="34"/>
  <c r="R4" i="34"/>
  <c r="Q4" i="34"/>
  <c r="L4" i="34"/>
  <c r="E4" i="34"/>
  <c r="AF4" i="34" l="1"/>
  <c r="T34" i="36"/>
  <c r="AB6" i="34"/>
  <c r="AB10" i="34"/>
  <c r="AB14" i="34"/>
  <c r="AB18" i="34"/>
  <c r="AB22" i="34"/>
  <c r="AG4" i="34"/>
  <c r="AA8" i="34"/>
  <c r="AA12" i="34"/>
  <c r="AA16" i="34"/>
  <c r="AA20" i="34"/>
  <c r="AB4" i="34"/>
  <c r="AB8" i="34"/>
  <c r="AB12" i="34"/>
  <c r="AB16" i="34"/>
  <c r="AB20" i="34"/>
  <c r="AA4" i="34"/>
  <c r="AG5" i="34"/>
  <c r="AH5" i="34" s="1"/>
  <c r="AG7" i="34"/>
  <c r="AG11" i="34"/>
  <c r="AG15" i="34"/>
  <c r="AG23" i="34"/>
  <c r="AG12" i="34"/>
  <c r="AG20" i="34"/>
  <c r="AH20" i="34" s="1"/>
  <c r="AF15" i="34"/>
  <c r="AF19" i="34"/>
  <c r="AF10" i="34"/>
  <c r="AF14" i="34"/>
  <c r="AF18" i="34"/>
  <c r="AF22" i="34"/>
  <c r="AG10" i="34"/>
  <c r="AG14" i="34"/>
  <c r="AG18" i="34"/>
  <c r="AG22" i="34"/>
  <c r="S23" i="34"/>
  <c r="AF23" i="34"/>
  <c r="AG21" i="34"/>
  <c r="AF21" i="34"/>
  <c r="AG19" i="34"/>
  <c r="AG17" i="34"/>
  <c r="AG16" i="34"/>
  <c r="AF16" i="34"/>
  <c r="S17" i="34"/>
  <c r="AF17" i="34"/>
  <c r="AG13" i="34"/>
  <c r="AF13" i="34"/>
  <c r="AF12" i="34"/>
  <c r="S12" i="34"/>
  <c r="AF11" i="34"/>
  <c r="AG9" i="34"/>
  <c r="AG8" i="34"/>
  <c r="AF9" i="34"/>
  <c r="S9" i="34"/>
  <c r="S8" i="34"/>
  <c r="AF8" i="34"/>
  <c r="AG6" i="34"/>
  <c r="AF7" i="34"/>
  <c r="S6" i="34"/>
  <c r="AF6" i="34"/>
  <c r="S15" i="34"/>
  <c r="S19" i="34"/>
  <c r="Z21" i="34"/>
  <c r="Z12" i="34"/>
  <c r="S13" i="34"/>
  <c r="Z16" i="34"/>
  <c r="S21" i="34"/>
  <c r="S16" i="34"/>
  <c r="S20" i="34"/>
  <c r="S7" i="34"/>
  <c r="S11" i="34"/>
  <c r="Z22" i="34"/>
  <c r="S14" i="34"/>
  <c r="S22" i="34"/>
  <c r="Z18" i="34"/>
  <c r="Z6" i="34"/>
  <c r="S18" i="34"/>
  <c r="Z19" i="34"/>
  <c r="Z9" i="34"/>
  <c r="S10" i="34"/>
  <c r="S4" i="34"/>
  <c r="S5" i="34"/>
  <c r="Z4" i="34"/>
  <c r="Z10" i="34"/>
  <c r="Z15" i="34"/>
  <c r="Z7" i="34"/>
  <c r="Z13" i="34"/>
  <c r="Z11" i="34"/>
  <c r="Z5" i="34"/>
  <c r="Z14" i="34"/>
  <c r="Z20" i="34"/>
  <c r="Z23" i="34"/>
  <c r="Z8" i="34"/>
  <c r="Z17" i="34"/>
  <c r="D4" i="27"/>
  <c r="AH4" i="34" l="1"/>
  <c r="AH11" i="34"/>
  <c r="AH16" i="34"/>
  <c r="AH12" i="34"/>
  <c r="AH21" i="34"/>
  <c r="AH23" i="34"/>
  <c r="AH7" i="34"/>
  <c r="AH15" i="34"/>
  <c r="AH14" i="34"/>
  <c r="AH17" i="34"/>
  <c r="AH18" i="34"/>
  <c r="AH10" i="34"/>
  <c r="AH13" i="34"/>
  <c r="AH22" i="34"/>
  <c r="AH9" i="34"/>
  <c r="AH8" i="34"/>
  <c r="AH19" i="34"/>
  <c r="AH6" i="34"/>
  <c r="BM23" i="33"/>
  <c r="BL23" i="33"/>
  <c r="BH23" i="33"/>
  <c r="BG23" i="33"/>
  <c r="BC23" i="33"/>
  <c r="BB23" i="33"/>
  <c r="BM22" i="33"/>
  <c r="BL22" i="33"/>
  <c r="BH22" i="33"/>
  <c r="BG22" i="33"/>
  <c r="BC22" i="33"/>
  <c r="BB22" i="33"/>
  <c r="BM21" i="33"/>
  <c r="BL21" i="33"/>
  <c r="BH21" i="33"/>
  <c r="BG21" i="33"/>
  <c r="BC21" i="33"/>
  <c r="BB21" i="33"/>
  <c r="BM20" i="33"/>
  <c r="BL20" i="33"/>
  <c r="BH20" i="33"/>
  <c r="BG20" i="33"/>
  <c r="BC20" i="33"/>
  <c r="BB20" i="33"/>
  <c r="BM19" i="33"/>
  <c r="BL19" i="33"/>
  <c r="BH19" i="33"/>
  <c r="BG19" i="33"/>
  <c r="BC19" i="33"/>
  <c r="BB19" i="33"/>
  <c r="BM18" i="33"/>
  <c r="BL18" i="33"/>
  <c r="BH18" i="33"/>
  <c r="BG18" i="33"/>
  <c r="BC18" i="33"/>
  <c r="BB18" i="33"/>
  <c r="BM17" i="33"/>
  <c r="BL17" i="33"/>
  <c r="BH17" i="33"/>
  <c r="BG17" i="33"/>
  <c r="BC17" i="33"/>
  <c r="BB17" i="33"/>
  <c r="BM16" i="33"/>
  <c r="BL16" i="33"/>
  <c r="BH16" i="33"/>
  <c r="BG16" i="33"/>
  <c r="BC16" i="33"/>
  <c r="BB16" i="33"/>
  <c r="BM15" i="33"/>
  <c r="BL15" i="33"/>
  <c r="BH15" i="33"/>
  <c r="BG15" i="33"/>
  <c r="BC15" i="33"/>
  <c r="BB15" i="33"/>
  <c r="BM14" i="33"/>
  <c r="BL14" i="33"/>
  <c r="BH14" i="33"/>
  <c r="BG14" i="33"/>
  <c r="BC14" i="33"/>
  <c r="BB14" i="33"/>
  <c r="BM13" i="33"/>
  <c r="BL13" i="33"/>
  <c r="BH13" i="33"/>
  <c r="BG13" i="33"/>
  <c r="BC13" i="33"/>
  <c r="BB13" i="33"/>
  <c r="BM12" i="33"/>
  <c r="BL12" i="33"/>
  <c r="BH12" i="33"/>
  <c r="BG12" i="33"/>
  <c r="BC12" i="33"/>
  <c r="BB12" i="33"/>
  <c r="BM11" i="33"/>
  <c r="BL11" i="33"/>
  <c r="BH11" i="33"/>
  <c r="BG11" i="33"/>
  <c r="BC11" i="33"/>
  <c r="BB11" i="33"/>
  <c r="BM10" i="33"/>
  <c r="BL10" i="33"/>
  <c r="BH10" i="33"/>
  <c r="BG10" i="33"/>
  <c r="BC10" i="33"/>
  <c r="BB10" i="33"/>
  <c r="BM9" i="33"/>
  <c r="BL9" i="33"/>
  <c r="BH9" i="33"/>
  <c r="BG9" i="33"/>
  <c r="BC9" i="33"/>
  <c r="BB9" i="33"/>
  <c r="BM8" i="33"/>
  <c r="BL8" i="33"/>
  <c r="BH8" i="33"/>
  <c r="BG8" i="33"/>
  <c r="BC8" i="33"/>
  <c r="BB8" i="33"/>
  <c r="BM7" i="33"/>
  <c r="BL7" i="33"/>
  <c r="BH7" i="33"/>
  <c r="BG7" i="33"/>
  <c r="BC7" i="33"/>
  <c r="BB7" i="33"/>
  <c r="BM6" i="33"/>
  <c r="BL6" i="33"/>
  <c r="BH6" i="33"/>
  <c r="BG6" i="33"/>
  <c r="BC6" i="33"/>
  <c r="BB6" i="33"/>
  <c r="BM5" i="33"/>
  <c r="BL5" i="33"/>
  <c r="BH5" i="33"/>
  <c r="BG5" i="33"/>
  <c r="BC5" i="33"/>
  <c r="BB5" i="33"/>
  <c r="BM4" i="33"/>
  <c r="BL4" i="33"/>
  <c r="BH4" i="33"/>
  <c r="BG4" i="33"/>
  <c r="BC4" i="33"/>
  <c r="BB4" i="33"/>
  <c r="AV23" i="33"/>
  <c r="AV22" i="33"/>
  <c r="AV21" i="33"/>
  <c r="AV20" i="33"/>
  <c r="AV19" i="33"/>
  <c r="AV18" i="33"/>
  <c r="AV17" i="33"/>
  <c r="AV16" i="33"/>
  <c r="AV15" i="33"/>
  <c r="AV14" i="33"/>
  <c r="AV13" i="33"/>
  <c r="AV12" i="33"/>
  <c r="AV11" i="33"/>
  <c r="AV10" i="33"/>
  <c r="AV9" i="33"/>
  <c r="AV8" i="33"/>
  <c r="AV7" i="33"/>
  <c r="AV6" i="33"/>
  <c r="AV5" i="33"/>
  <c r="AV4" i="33"/>
  <c r="AU23" i="33"/>
  <c r="AU22" i="33"/>
  <c r="AU21" i="33"/>
  <c r="AU20" i="33"/>
  <c r="AU19" i="33"/>
  <c r="AU18" i="33"/>
  <c r="AU17" i="33"/>
  <c r="AU16" i="33"/>
  <c r="AU15" i="33"/>
  <c r="AU14" i="33"/>
  <c r="AU13" i="33"/>
  <c r="AU12" i="33"/>
  <c r="AU11" i="33"/>
  <c r="AU10" i="33"/>
  <c r="AU9" i="33"/>
  <c r="AU8" i="33"/>
  <c r="AU7" i="33"/>
  <c r="AU6" i="33"/>
  <c r="AU5" i="33"/>
  <c r="AU4" i="33"/>
  <c r="AQ23" i="33"/>
  <c r="AQ22" i="33"/>
  <c r="AQ21" i="33"/>
  <c r="AQ20" i="33"/>
  <c r="AQ19" i="33"/>
  <c r="AQ18" i="33"/>
  <c r="AQ17" i="33"/>
  <c r="AQ16" i="33"/>
  <c r="AQ15" i="33"/>
  <c r="AQ14" i="33"/>
  <c r="AQ13" i="33"/>
  <c r="AQ12" i="33"/>
  <c r="AQ11" i="33"/>
  <c r="AQ10" i="33"/>
  <c r="AQ9" i="33"/>
  <c r="AQ8" i="33"/>
  <c r="AQ7" i="33"/>
  <c r="AQ6" i="33"/>
  <c r="AQ5" i="33"/>
  <c r="AQ4" i="33"/>
  <c r="AP23" i="33"/>
  <c r="AP22" i="33"/>
  <c r="AP21" i="33"/>
  <c r="AP20" i="33"/>
  <c r="AP19" i="33"/>
  <c r="AP18" i="33"/>
  <c r="AP17" i="33"/>
  <c r="AP16" i="33"/>
  <c r="AP15" i="33"/>
  <c r="AP14" i="33"/>
  <c r="AP13" i="33"/>
  <c r="AP12" i="33"/>
  <c r="AP11" i="33"/>
  <c r="AP10" i="33"/>
  <c r="AP9" i="33"/>
  <c r="AP8" i="33"/>
  <c r="AP7" i="33"/>
  <c r="AP6" i="33"/>
  <c r="AP5" i="33"/>
  <c r="AP4" i="33"/>
  <c r="AL23" i="33"/>
  <c r="AL22" i="33"/>
  <c r="AL21" i="33"/>
  <c r="AL20" i="33"/>
  <c r="AL19" i="33"/>
  <c r="AL18" i="33"/>
  <c r="AL17" i="33"/>
  <c r="AL16" i="33"/>
  <c r="AL15" i="33"/>
  <c r="AL14" i="33"/>
  <c r="AL13" i="33"/>
  <c r="AL12" i="33"/>
  <c r="AL11" i="33"/>
  <c r="AL10" i="33"/>
  <c r="AL9" i="33"/>
  <c r="AL8" i="33"/>
  <c r="AL7" i="33"/>
  <c r="AL6" i="33"/>
  <c r="AL5" i="33"/>
  <c r="AL4" i="33"/>
  <c r="AK23" i="33"/>
  <c r="AK22" i="33"/>
  <c r="AK21" i="33"/>
  <c r="AK20" i="33"/>
  <c r="AK19" i="33"/>
  <c r="AK18" i="33"/>
  <c r="AK17" i="33"/>
  <c r="AK16" i="33"/>
  <c r="AK15" i="33"/>
  <c r="AK14" i="33"/>
  <c r="AK13" i="33"/>
  <c r="AK12" i="33"/>
  <c r="AK11" i="33"/>
  <c r="AK10" i="33"/>
  <c r="AK9" i="33"/>
  <c r="AK8" i="33"/>
  <c r="AK7" i="33"/>
  <c r="AK6" i="33"/>
  <c r="AK5" i="33"/>
  <c r="AK4" i="33"/>
  <c r="BI7" i="33" l="1"/>
  <c r="BN8" i="33"/>
  <c r="BI11" i="33"/>
  <c r="BN16" i="33"/>
  <c r="BI5" i="33"/>
  <c r="BD20" i="33"/>
  <c r="BN19" i="33"/>
  <c r="BI6" i="33"/>
  <c r="BD17" i="33"/>
  <c r="BD9" i="33"/>
  <c r="BI17" i="33"/>
  <c r="AM12" i="33"/>
  <c r="AM20" i="33"/>
  <c r="BI13" i="33"/>
  <c r="BD16" i="33"/>
  <c r="BD22" i="33"/>
  <c r="BD7" i="33"/>
  <c r="BI8" i="33"/>
  <c r="AW12" i="33"/>
  <c r="BD6" i="33"/>
  <c r="BD14" i="33"/>
  <c r="AW20" i="33"/>
  <c r="AW4" i="33"/>
  <c r="AR7" i="33"/>
  <c r="AR15" i="33"/>
  <c r="AR23" i="33"/>
  <c r="BN6" i="33"/>
  <c r="BI9" i="33"/>
  <c r="AR8" i="33"/>
  <c r="AR16" i="33"/>
  <c r="AR21" i="33"/>
  <c r="AW5" i="33"/>
  <c r="AW13" i="33"/>
  <c r="AW21" i="33"/>
  <c r="BD12" i="33"/>
  <c r="BN14" i="33"/>
  <c r="BN18" i="33"/>
  <c r="BI21" i="33"/>
  <c r="BI22" i="33"/>
  <c r="AR13" i="33"/>
  <c r="AW6" i="33"/>
  <c r="AW14" i="33"/>
  <c r="AW22" i="33"/>
  <c r="AM5" i="33"/>
  <c r="AM13" i="33"/>
  <c r="AM21" i="33"/>
  <c r="AR5" i="33"/>
  <c r="BN22" i="33"/>
  <c r="AW17" i="33"/>
  <c r="AR4" i="33"/>
  <c r="AR12" i="33"/>
  <c r="AR20" i="33"/>
  <c r="AW9" i="33"/>
  <c r="BI15" i="33"/>
  <c r="BI19" i="33"/>
  <c r="AM22" i="33"/>
  <c r="AW10" i="33"/>
  <c r="AW18" i="33"/>
  <c r="AM10" i="33"/>
  <c r="AM4" i="33"/>
  <c r="AM18" i="33"/>
  <c r="AR6" i="33"/>
  <c r="AR14" i="33"/>
  <c r="AR22" i="33"/>
  <c r="BD4" i="33"/>
  <c r="BD8" i="33"/>
  <c r="BN10" i="33"/>
  <c r="BN11" i="33"/>
  <c r="BD13" i="33"/>
  <c r="BI14" i="33"/>
  <c r="AM17" i="33"/>
  <c r="AM9" i="33"/>
  <c r="AW16" i="33"/>
  <c r="AW8" i="33"/>
  <c r="BI4" i="33"/>
  <c r="BN5" i="33"/>
  <c r="BI10" i="33"/>
  <c r="BN12" i="33"/>
  <c r="BD15" i="33"/>
  <c r="BI16" i="33"/>
  <c r="BD21" i="33"/>
  <c r="BI23" i="33"/>
  <c r="AM16" i="33"/>
  <c r="AM8" i="33"/>
  <c r="AR19" i="33"/>
  <c r="AR11" i="33"/>
  <c r="AW23" i="33"/>
  <c r="AW15" i="33"/>
  <c r="AW7" i="33"/>
  <c r="BN4" i="33"/>
  <c r="AM23" i="33"/>
  <c r="AM15" i="33"/>
  <c r="AM7" i="33"/>
  <c r="AR18" i="33"/>
  <c r="AR10" i="33"/>
  <c r="BN17" i="33"/>
  <c r="BD19" i="33"/>
  <c r="BN23" i="33"/>
  <c r="AM14" i="33"/>
  <c r="AM6" i="33"/>
  <c r="AR17" i="33"/>
  <c r="AR9" i="33"/>
  <c r="BD5" i="33"/>
  <c r="BN9" i="33"/>
  <c r="BD11" i="33"/>
  <c r="BN15" i="33"/>
  <c r="BD18" i="33"/>
  <c r="BI20" i="33"/>
  <c r="BN21" i="33"/>
  <c r="AW19" i="33"/>
  <c r="AW11" i="33"/>
  <c r="AM19" i="33"/>
  <c r="AM11" i="33"/>
  <c r="BN7" i="33"/>
  <c r="BD10" i="33"/>
  <c r="BI12" i="33"/>
  <c r="BN13" i="33"/>
  <c r="BI18" i="33"/>
  <c r="BN20" i="33"/>
  <c r="BD23" i="33"/>
  <c r="AF63" i="33"/>
  <c r="AA63" i="33"/>
  <c r="V63" i="33"/>
  <c r="AF62" i="33"/>
  <c r="AA62" i="33"/>
  <c r="V62" i="33"/>
  <c r="AF61" i="33"/>
  <c r="AA61" i="33"/>
  <c r="V61" i="33"/>
  <c r="AF60" i="33"/>
  <c r="AA60" i="33"/>
  <c r="V60" i="33"/>
  <c r="AF59" i="33"/>
  <c r="AA59" i="33"/>
  <c r="V59" i="33"/>
  <c r="AF58" i="33"/>
  <c r="AA58" i="33"/>
  <c r="V58" i="33"/>
  <c r="AF57" i="33"/>
  <c r="AA57" i="33"/>
  <c r="V57" i="33"/>
  <c r="AF56" i="33"/>
  <c r="AA56" i="33"/>
  <c r="V56" i="33"/>
  <c r="AF55" i="33"/>
  <c r="AA55" i="33"/>
  <c r="V55" i="33"/>
  <c r="AF54" i="33"/>
  <c r="AA54" i="33"/>
  <c r="V54" i="33"/>
  <c r="AF53" i="33"/>
  <c r="AA53" i="33"/>
  <c r="V53" i="33"/>
  <c r="AF52" i="33"/>
  <c r="AA52" i="33"/>
  <c r="V52" i="33"/>
  <c r="AF51" i="33"/>
  <c r="AA51" i="33"/>
  <c r="V51" i="33"/>
  <c r="AF50" i="33"/>
  <c r="AA50" i="33"/>
  <c r="V50" i="33"/>
  <c r="AF49" i="33"/>
  <c r="AA49" i="33"/>
  <c r="V49" i="33"/>
  <c r="AF48" i="33"/>
  <c r="AA48" i="33"/>
  <c r="V48" i="33"/>
  <c r="AF47" i="33"/>
  <c r="AA47" i="33"/>
  <c r="V47" i="33"/>
  <c r="AF46" i="33"/>
  <c r="AA46" i="33"/>
  <c r="V46" i="33"/>
  <c r="AF45" i="33"/>
  <c r="AA45" i="33"/>
  <c r="V45" i="33"/>
  <c r="AF44" i="33"/>
  <c r="AA44" i="33"/>
  <c r="V44" i="33"/>
  <c r="AF43" i="33"/>
  <c r="AA43" i="33"/>
  <c r="V43" i="33"/>
  <c r="AF42" i="33"/>
  <c r="AA42" i="33"/>
  <c r="V42" i="33"/>
  <c r="AF41" i="33"/>
  <c r="AA41" i="33"/>
  <c r="V41" i="33"/>
  <c r="AF40" i="33"/>
  <c r="AA40" i="33"/>
  <c r="V40" i="33"/>
  <c r="AF39" i="33"/>
  <c r="AA39" i="33"/>
  <c r="V39" i="33"/>
  <c r="AF38" i="33"/>
  <c r="AA38" i="33"/>
  <c r="V38" i="33"/>
  <c r="AF37" i="33"/>
  <c r="AA37" i="33"/>
  <c r="V37" i="33"/>
  <c r="AF36" i="33"/>
  <c r="AA36" i="33"/>
  <c r="V36" i="33"/>
  <c r="AF35" i="33"/>
  <c r="AA35" i="33"/>
  <c r="V35" i="33"/>
  <c r="AF34" i="33"/>
  <c r="AA34" i="33"/>
  <c r="V34" i="33"/>
  <c r="AF33" i="33"/>
  <c r="AA33" i="33"/>
  <c r="V33" i="33"/>
  <c r="AF32" i="33"/>
  <c r="AA32" i="33"/>
  <c r="V32" i="33"/>
  <c r="AF31" i="33"/>
  <c r="AA31" i="33"/>
  <c r="V31" i="33"/>
  <c r="AF30" i="33"/>
  <c r="AA30" i="33"/>
  <c r="V30" i="33"/>
  <c r="AF29" i="33"/>
  <c r="AA29" i="33"/>
  <c r="V29" i="33"/>
  <c r="AF28" i="33"/>
  <c r="AA28" i="33"/>
  <c r="V28" i="33"/>
  <c r="AF27" i="33"/>
  <c r="AA27" i="33"/>
  <c r="V27" i="33"/>
  <c r="AF26" i="33"/>
  <c r="AA26" i="33"/>
  <c r="V26" i="33"/>
  <c r="AF25" i="33"/>
  <c r="AA25" i="33"/>
  <c r="V25" i="33"/>
  <c r="AF24" i="33"/>
  <c r="AA24" i="33"/>
  <c r="V24" i="33"/>
  <c r="AF23" i="33"/>
  <c r="AA23" i="33"/>
  <c r="V23" i="33"/>
  <c r="AF22" i="33"/>
  <c r="AA22" i="33"/>
  <c r="V22" i="33"/>
  <c r="AF21" i="33"/>
  <c r="AA21" i="33"/>
  <c r="V21" i="33"/>
  <c r="AF20" i="33"/>
  <c r="AA20" i="33"/>
  <c r="V20" i="33"/>
  <c r="AF19" i="33"/>
  <c r="AA19" i="33"/>
  <c r="V19" i="33"/>
  <c r="AF18" i="33"/>
  <c r="AA18" i="33"/>
  <c r="V18" i="33"/>
  <c r="AF17" i="33"/>
  <c r="AA17" i="33"/>
  <c r="V17" i="33"/>
  <c r="AF16" i="33"/>
  <c r="AA16" i="33"/>
  <c r="V16" i="33"/>
  <c r="AF15" i="33"/>
  <c r="AA15" i="33"/>
  <c r="V15" i="33"/>
  <c r="AF14" i="33"/>
  <c r="AA14" i="33"/>
  <c r="V14" i="33"/>
  <c r="AF13" i="33"/>
  <c r="AA13" i="33"/>
  <c r="V13" i="33"/>
  <c r="AF12" i="33"/>
  <c r="AA12" i="33"/>
  <c r="V12" i="33"/>
  <c r="AF11" i="33"/>
  <c r="AA11" i="33"/>
  <c r="V11" i="33"/>
  <c r="AF10" i="33"/>
  <c r="AA10" i="33"/>
  <c r="V10" i="33"/>
  <c r="AF9" i="33"/>
  <c r="AA9" i="33"/>
  <c r="V9" i="33"/>
  <c r="AF8" i="33"/>
  <c r="AA8" i="33"/>
  <c r="V8" i="33"/>
  <c r="AF7" i="33"/>
  <c r="AA7" i="33"/>
  <c r="V7" i="33"/>
  <c r="AF6" i="33"/>
  <c r="AA6" i="33"/>
  <c r="V6" i="33"/>
  <c r="AF5" i="33"/>
  <c r="AA5" i="33"/>
  <c r="V5" i="33"/>
  <c r="AF4" i="33"/>
  <c r="AA4" i="33"/>
  <c r="V4" i="33"/>
  <c r="J22" i="33" l="1"/>
  <c r="O10" i="33" l="1"/>
  <c r="O63" i="33" l="1"/>
  <c r="O62" i="33"/>
  <c r="O61" i="33"/>
  <c r="O60" i="33"/>
  <c r="O59" i="33"/>
  <c r="O58" i="33"/>
  <c r="O57" i="33"/>
  <c r="O56" i="33"/>
  <c r="O55" i="33"/>
  <c r="O54" i="33"/>
  <c r="O53" i="33"/>
  <c r="O52" i="33"/>
  <c r="O51" i="33"/>
  <c r="O50" i="33"/>
  <c r="O49" i="33"/>
  <c r="O48" i="33"/>
  <c r="O47" i="33"/>
  <c r="O46" i="33"/>
  <c r="O45" i="33"/>
  <c r="O44" i="33"/>
  <c r="O43" i="33"/>
  <c r="O42" i="33"/>
  <c r="O41" i="33"/>
  <c r="O40" i="33"/>
  <c r="O39" i="33"/>
  <c r="O38" i="33"/>
  <c r="O37" i="33"/>
  <c r="O36" i="33"/>
  <c r="O35" i="33"/>
  <c r="O34" i="33"/>
  <c r="O33" i="33"/>
  <c r="O32" i="33"/>
  <c r="O31" i="33"/>
  <c r="O30" i="33"/>
  <c r="O29" i="33"/>
  <c r="O28" i="33"/>
  <c r="O27" i="33"/>
  <c r="O26" i="33"/>
  <c r="O25" i="33"/>
  <c r="O24" i="33"/>
  <c r="O23" i="33"/>
  <c r="O22" i="33"/>
  <c r="O21" i="33"/>
  <c r="O20" i="33"/>
  <c r="O19" i="33"/>
  <c r="O18" i="33"/>
  <c r="O17" i="33"/>
  <c r="O16" i="33"/>
  <c r="O15" i="33"/>
  <c r="O14" i="33"/>
  <c r="O13" i="33"/>
  <c r="O12" i="33"/>
  <c r="O11" i="33"/>
  <c r="O9" i="33"/>
  <c r="O8" i="33"/>
  <c r="O7" i="33"/>
  <c r="O6" i="33"/>
  <c r="O5" i="33"/>
  <c r="O4" i="33"/>
  <c r="J63" i="33" l="1"/>
  <c r="J62" i="33"/>
  <c r="J61" i="33"/>
  <c r="J60" i="33"/>
  <c r="J59" i="33"/>
  <c r="J58" i="33"/>
  <c r="J57" i="33"/>
  <c r="J56" i="33"/>
  <c r="J55" i="33"/>
  <c r="J54" i="33"/>
  <c r="J53" i="33"/>
  <c r="J52" i="33"/>
  <c r="J51" i="33"/>
  <c r="J50" i="33"/>
  <c r="J49" i="33"/>
  <c r="J48" i="33"/>
  <c r="J47" i="33"/>
  <c r="J46" i="33"/>
  <c r="J45" i="33"/>
  <c r="J44" i="33"/>
  <c r="J43" i="33"/>
  <c r="J42" i="33"/>
  <c r="J41" i="33"/>
  <c r="J40" i="33"/>
  <c r="J39" i="33"/>
  <c r="J38" i="33"/>
  <c r="J37" i="33"/>
  <c r="J36" i="33"/>
  <c r="J35" i="33"/>
  <c r="J34" i="33"/>
  <c r="J33" i="33"/>
  <c r="J32" i="33"/>
  <c r="J31" i="33"/>
  <c r="J30" i="33"/>
  <c r="J29" i="33"/>
  <c r="J28" i="33"/>
  <c r="J27" i="33"/>
  <c r="J26" i="33"/>
  <c r="J25" i="33"/>
  <c r="J24" i="33"/>
  <c r="J23" i="33"/>
  <c r="J21" i="33"/>
  <c r="J20" i="33"/>
  <c r="J19" i="33"/>
  <c r="J18" i="33"/>
  <c r="J17" i="33"/>
  <c r="J16" i="33"/>
  <c r="J15" i="33"/>
  <c r="J14" i="33"/>
  <c r="J13" i="33"/>
  <c r="J12" i="33"/>
  <c r="J11" i="33"/>
  <c r="J10" i="33"/>
  <c r="J9" i="33"/>
  <c r="J8" i="33"/>
  <c r="J7" i="33"/>
  <c r="J6" i="33"/>
  <c r="J5" i="33"/>
  <c r="J4" i="33"/>
  <c r="E63" i="33"/>
  <c r="E62" i="33"/>
  <c r="E61" i="33"/>
  <c r="E60" i="33"/>
  <c r="E59" i="33"/>
  <c r="E58" i="33"/>
  <c r="E57" i="33"/>
  <c r="E56" i="33"/>
  <c r="E55" i="33"/>
  <c r="E54" i="33"/>
  <c r="E53" i="33"/>
  <c r="E52" i="33"/>
  <c r="E51" i="33"/>
  <c r="E50" i="33"/>
  <c r="E49" i="33"/>
  <c r="E48" i="33"/>
  <c r="E47" i="33"/>
  <c r="E46" i="33"/>
  <c r="E45" i="33"/>
  <c r="E44" i="33"/>
  <c r="E43" i="33"/>
  <c r="E42" i="33"/>
  <c r="E41" i="33"/>
  <c r="E40" i="33"/>
  <c r="E39" i="33"/>
  <c r="E38" i="33"/>
  <c r="E37" i="33"/>
  <c r="E36" i="33"/>
  <c r="E35" i="33"/>
  <c r="E34" i="33"/>
  <c r="E33" i="33"/>
  <c r="E32" i="33"/>
  <c r="E31" i="33"/>
  <c r="E30" i="33"/>
  <c r="E29" i="33"/>
  <c r="E28" i="33"/>
  <c r="E27" i="33"/>
  <c r="E26" i="33"/>
  <c r="E25" i="33"/>
  <c r="E24" i="33"/>
  <c r="E23" i="33"/>
  <c r="E22" i="33"/>
  <c r="E21" i="33"/>
  <c r="E20" i="33"/>
  <c r="E19" i="33"/>
  <c r="E18" i="33"/>
  <c r="E17" i="33"/>
  <c r="E16" i="33"/>
  <c r="E15" i="33"/>
  <c r="E14" i="33"/>
  <c r="E13" i="33"/>
  <c r="E12" i="33"/>
  <c r="E11" i="33"/>
  <c r="E10" i="33"/>
  <c r="E9" i="33"/>
  <c r="E8" i="33"/>
  <c r="E7" i="33"/>
  <c r="E6" i="33"/>
  <c r="E5" i="33"/>
  <c r="E4" i="33"/>
  <c r="G29" i="31" l="1"/>
  <c r="G26" i="31"/>
  <c r="G23" i="31"/>
  <c r="G20" i="31"/>
  <c r="G17" i="31"/>
  <c r="G14" i="31"/>
  <c r="G11" i="31"/>
  <c r="G8" i="31"/>
  <c r="G5" i="31"/>
  <c r="G2" i="31"/>
  <c r="B15" i="15" l="1"/>
  <c r="B14" i="15"/>
  <c r="C15" i="15"/>
  <c r="C14" i="15"/>
  <c r="P15" i="15"/>
  <c r="P14" i="15"/>
  <c r="D29" i="31" l="1"/>
  <c r="D26" i="31"/>
  <c r="D23" i="31"/>
  <c r="D20" i="31"/>
  <c r="D17" i="31"/>
  <c r="D14" i="31"/>
  <c r="D11" i="31"/>
  <c r="D8" i="31"/>
  <c r="D5" i="31"/>
  <c r="D2" i="31"/>
  <c r="I29" i="31"/>
  <c r="I26" i="31"/>
  <c r="I23" i="31"/>
  <c r="I20" i="31"/>
  <c r="I17" i="31"/>
  <c r="I14" i="31"/>
  <c r="I11" i="31"/>
  <c r="I8" i="31"/>
  <c r="I5" i="31"/>
  <c r="I2" i="31"/>
  <c r="H3" i="31"/>
  <c r="H4" i="31"/>
  <c r="H5" i="31"/>
  <c r="H6" i="31"/>
  <c r="H7" i="31"/>
  <c r="H8" i="31"/>
  <c r="H9" i="31"/>
  <c r="H10" i="31"/>
  <c r="H11" i="31"/>
  <c r="H12" i="31"/>
  <c r="H13" i="31"/>
  <c r="H14" i="31"/>
  <c r="H15" i="31"/>
  <c r="H16" i="31"/>
  <c r="H17" i="31"/>
  <c r="H18" i="31"/>
  <c r="H19" i="31"/>
  <c r="H20" i="31"/>
  <c r="H21" i="31"/>
  <c r="H22" i="31"/>
  <c r="H23" i="31"/>
  <c r="H24" i="31"/>
  <c r="H25" i="31"/>
  <c r="H26" i="31"/>
  <c r="H27" i="31"/>
  <c r="H28" i="31"/>
  <c r="H29" i="31"/>
  <c r="H2" i="31"/>
  <c r="O29" i="31"/>
  <c r="O26" i="31"/>
  <c r="O23" i="31"/>
  <c r="O20" i="31"/>
  <c r="O17" i="31"/>
  <c r="O14" i="31"/>
  <c r="O11" i="31"/>
  <c r="O8" i="31"/>
  <c r="O5" i="31"/>
  <c r="J11" i="31" l="1"/>
  <c r="J17" i="31"/>
  <c r="J8" i="31"/>
  <c r="J23" i="31"/>
  <c r="J20" i="31"/>
  <c r="J2" i="31"/>
  <c r="J26" i="31"/>
  <c r="J14" i="31"/>
  <c r="J5" i="31"/>
  <c r="J29" i="31"/>
  <c r="O33" i="31"/>
  <c r="O31" i="31"/>
  <c r="O32" i="31"/>
  <c r="V22" i="3" l="1"/>
  <c r="W28" i="3"/>
  <c r="V28" i="3"/>
  <c r="W25" i="3"/>
  <c r="V25" i="3"/>
  <c r="W22" i="3"/>
  <c r="W19" i="3"/>
  <c r="V19" i="3"/>
  <c r="W16" i="3"/>
  <c r="V16" i="3"/>
  <c r="W13" i="3"/>
  <c r="V13" i="3"/>
  <c r="W10" i="3"/>
  <c r="V10" i="3"/>
  <c r="W7" i="3"/>
  <c r="V7" i="3"/>
  <c r="W4" i="3"/>
  <c r="V4" i="3"/>
  <c r="Y28" i="3" l="1"/>
  <c r="Y13" i="3"/>
  <c r="Y19" i="3"/>
  <c r="Y7" i="3"/>
  <c r="Y16" i="3"/>
  <c r="Y25" i="3"/>
  <c r="Y10" i="3"/>
  <c r="Y4" i="3"/>
  <c r="Y22" i="3"/>
  <c r="H30" i="20" l="1"/>
  <c r="K30" i="20" s="1"/>
  <c r="M29" i="20"/>
  <c r="L29" i="20"/>
  <c r="K29" i="20"/>
  <c r="J29" i="20"/>
  <c r="I29" i="20"/>
  <c r="I30" i="20" s="1"/>
  <c r="I31" i="20" s="1"/>
  <c r="I32" i="20" s="1"/>
  <c r="I33" i="20" s="1"/>
  <c r="I34" i="20" s="1"/>
  <c r="I35" i="20" s="1"/>
  <c r="I36" i="20" s="1"/>
  <c r="I37" i="20" s="1"/>
  <c r="M28" i="20"/>
  <c r="L28" i="20"/>
  <c r="K28" i="20"/>
  <c r="J28" i="20"/>
  <c r="M29" i="8"/>
  <c r="M28" i="8"/>
  <c r="N28" i="20" l="1"/>
  <c r="Q28" i="20"/>
  <c r="Q29" i="20"/>
  <c r="R28" i="20"/>
  <c r="R29" i="20"/>
  <c r="P28" i="20"/>
  <c r="P29" i="20"/>
  <c r="N29" i="20"/>
  <c r="H31" i="20"/>
  <c r="M30" i="20"/>
  <c r="R30" i="20" s="1"/>
  <c r="J30" i="20"/>
  <c r="N30" i="20" s="1"/>
  <c r="L30" i="20"/>
  <c r="Q5" i="9"/>
  <c r="Q4" i="9"/>
  <c r="Q3" i="9"/>
  <c r="Q2" i="9"/>
  <c r="P5" i="9"/>
  <c r="P4" i="9"/>
  <c r="P3" i="9"/>
  <c r="P2" i="9"/>
  <c r="O5" i="9"/>
  <c r="O4" i="9"/>
  <c r="O3" i="9"/>
  <c r="O2" i="9"/>
  <c r="N5" i="9"/>
  <c r="N4" i="9"/>
  <c r="N3" i="9"/>
  <c r="N2" i="9"/>
  <c r="M3" i="9"/>
  <c r="M4" i="9" s="1"/>
  <c r="M5" i="9" s="1"/>
  <c r="CA31" i="27"/>
  <c r="K31" i="27"/>
  <c r="I30" i="27"/>
  <c r="BY29" i="27"/>
  <c r="BN29" i="27"/>
  <c r="I29" i="27"/>
  <c r="D29" i="27"/>
  <c r="CA28" i="27"/>
  <c r="BY28" i="27"/>
  <c r="BN28" i="27"/>
  <c r="CK28" i="27" s="1"/>
  <c r="K28" i="27"/>
  <c r="I28" i="27"/>
  <c r="D28" i="27"/>
  <c r="BY27" i="27"/>
  <c r="BN27" i="27"/>
  <c r="I27" i="27"/>
  <c r="D27" i="27"/>
  <c r="BY26" i="27"/>
  <c r="BN26" i="27"/>
  <c r="I26" i="27"/>
  <c r="D26" i="27"/>
  <c r="CA25" i="27"/>
  <c r="BY25" i="27"/>
  <c r="BN25" i="27"/>
  <c r="CK25" i="27" s="1"/>
  <c r="K25" i="27"/>
  <c r="I25" i="27"/>
  <c r="D25" i="27"/>
  <c r="BY24" i="27"/>
  <c r="BN24" i="27"/>
  <c r="I24" i="27"/>
  <c r="D24" i="27"/>
  <c r="BY23" i="27"/>
  <c r="BN23" i="27"/>
  <c r="I23" i="27"/>
  <c r="D23" i="27"/>
  <c r="CA22" i="27"/>
  <c r="BY22" i="27"/>
  <c r="BN22" i="27"/>
  <c r="CK22" i="27" s="1"/>
  <c r="K22" i="27"/>
  <c r="I22" i="27"/>
  <c r="D22" i="27"/>
  <c r="BY21" i="27"/>
  <c r="BN21" i="27"/>
  <c r="I21" i="27"/>
  <c r="D21" i="27"/>
  <c r="BY20" i="27"/>
  <c r="BN20" i="27"/>
  <c r="I20" i="27"/>
  <c r="D20" i="27"/>
  <c r="CA19" i="27"/>
  <c r="BY19" i="27"/>
  <c r="BN19" i="27"/>
  <c r="CK19" i="27" s="1"/>
  <c r="K19" i="27"/>
  <c r="I19" i="27"/>
  <c r="D19" i="27"/>
  <c r="BY18" i="27"/>
  <c r="BN18" i="27"/>
  <c r="I18" i="27"/>
  <c r="D18" i="27"/>
  <c r="BY17" i="27"/>
  <c r="BN17" i="27"/>
  <c r="I17" i="27"/>
  <c r="D17" i="27"/>
  <c r="CA16" i="27"/>
  <c r="BY16" i="27"/>
  <c r="BN16" i="27"/>
  <c r="CK16" i="27" s="1"/>
  <c r="K16" i="27"/>
  <c r="I16" i="27"/>
  <c r="D16" i="27"/>
  <c r="BY15" i="27"/>
  <c r="BN15" i="27"/>
  <c r="I15" i="27"/>
  <c r="D15" i="27"/>
  <c r="BY14" i="27"/>
  <c r="BN14" i="27"/>
  <c r="I14" i="27"/>
  <c r="D14" i="27"/>
  <c r="CA13" i="27"/>
  <c r="BY13" i="27"/>
  <c r="BN13" i="27"/>
  <c r="CK13" i="27" s="1"/>
  <c r="K13" i="27"/>
  <c r="I13" i="27"/>
  <c r="D13" i="27"/>
  <c r="BY12" i="27"/>
  <c r="BN12" i="27"/>
  <c r="I12" i="27"/>
  <c r="D12" i="27"/>
  <c r="BY11" i="27"/>
  <c r="BN11" i="27"/>
  <c r="I11" i="27"/>
  <c r="D11" i="27"/>
  <c r="CA10" i="27"/>
  <c r="BY10" i="27"/>
  <c r="BN10" i="27"/>
  <c r="CK10" i="27" s="1"/>
  <c r="K10" i="27"/>
  <c r="I10" i="27"/>
  <c r="D10" i="27"/>
  <c r="BY9" i="27"/>
  <c r="BN9" i="27"/>
  <c r="I9" i="27"/>
  <c r="D9" i="27"/>
  <c r="BY8" i="27"/>
  <c r="BN8" i="27"/>
  <c r="I8" i="27"/>
  <c r="D8" i="27"/>
  <c r="CA7" i="27"/>
  <c r="BY7" i="27"/>
  <c r="BN7" i="27"/>
  <c r="CK7" i="27" s="1"/>
  <c r="K7" i="27"/>
  <c r="I7" i="27"/>
  <c r="D7" i="27"/>
  <c r="BY6" i="27"/>
  <c r="BN6" i="27"/>
  <c r="I6" i="27"/>
  <c r="D6" i="27"/>
  <c r="BY5" i="27"/>
  <c r="BN5" i="27"/>
  <c r="I5" i="27"/>
  <c r="D5" i="27"/>
  <c r="CA4" i="27"/>
  <c r="BY4" i="27"/>
  <c r="BN4" i="27"/>
  <c r="K4" i="27"/>
  <c r="I4" i="27"/>
  <c r="E62" i="20"/>
  <c r="E61" i="20"/>
  <c r="E60" i="20"/>
  <c r="E59" i="20"/>
  <c r="E58" i="20"/>
  <c r="E57" i="20"/>
  <c r="E56" i="20"/>
  <c r="E55" i="20"/>
  <c r="E54" i="20"/>
  <c r="E53" i="20"/>
  <c r="E52" i="20"/>
  <c r="E51" i="20"/>
  <c r="E50" i="20"/>
  <c r="E49" i="20"/>
  <c r="E48" i="20"/>
  <c r="E47" i="20"/>
  <c r="E46" i="20"/>
  <c r="E45" i="20"/>
  <c r="E44" i="20"/>
  <c r="E43" i="20"/>
  <c r="E42" i="20"/>
  <c r="E41" i="20"/>
  <c r="E40" i="20"/>
  <c r="E39" i="20"/>
  <c r="E38" i="20"/>
  <c r="E37" i="20"/>
  <c r="E36" i="20"/>
  <c r="E35" i="20"/>
  <c r="E34" i="20"/>
  <c r="E33" i="20"/>
  <c r="E32" i="20"/>
  <c r="E31" i="20"/>
  <c r="E30" i="20"/>
  <c r="E29" i="20"/>
  <c r="E28" i="20"/>
  <c r="E27" i="20"/>
  <c r="E26" i="20"/>
  <c r="E25" i="20"/>
  <c r="E24" i="20"/>
  <c r="E23" i="20"/>
  <c r="K22" i="20"/>
  <c r="E22" i="20"/>
  <c r="K21" i="20"/>
  <c r="E21" i="20"/>
  <c r="K20" i="20"/>
  <c r="E20" i="20"/>
  <c r="K19" i="20"/>
  <c r="E19" i="20"/>
  <c r="K18" i="20"/>
  <c r="E18" i="20"/>
  <c r="K17" i="20"/>
  <c r="E17" i="20"/>
  <c r="K16" i="20"/>
  <c r="E16" i="20"/>
  <c r="K15" i="20"/>
  <c r="E15" i="20"/>
  <c r="K14" i="20"/>
  <c r="E14" i="20"/>
  <c r="K13" i="20"/>
  <c r="E13" i="20"/>
  <c r="K12" i="20"/>
  <c r="E12" i="20"/>
  <c r="K11" i="20"/>
  <c r="E11" i="20"/>
  <c r="K10" i="20"/>
  <c r="E10" i="20"/>
  <c r="K9" i="20"/>
  <c r="E9" i="20"/>
  <c r="K8" i="20"/>
  <c r="E8" i="20"/>
  <c r="K7" i="20"/>
  <c r="E7" i="20"/>
  <c r="K6" i="20"/>
  <c r="E6" i="20"/>
  <c r="K5" i="20"/>
  <c r="E5" i="20"/>
  <c r="K4" i="20"/>
  <c r="E4" i="20"/>
  <c r="K3" i="20"/>
  <c r="E3" i="20"/>
  <c r="R31" i="19"/>
  <c r="O31" i="19"/>
  <c r="D31" i="19"/>
  <c r="Q29" i="19"/>
  <c r="N29" i="19"/>
  <c r="R28" i="19"/>
  <c r="Q28" i="19"/>
  <c r="O28" i="19"/>
  <c r="N28" i="19"/>
  <c r="M28" i="19"/>
  <c r="J28" i="19"/>
  <c r="G28" i="19"/>
  <c r="D28" i="19"/>
  <c r="Q27" i="19"/>
  <c r="N27" i="19"/>
  <c r="Q26" i="19"/>
  <c r="N26" i="19"/>
  <c r="R25" i="19"/>
  <c r="Q25" i="19"/>
  <c r="O25" i="19"/>
  <c r="N25" i="19"/>
  <c r="M25" i="19"/>
  <c r="J25" i="19"/>
  <c r="G25" i="19"/>
  <c r="D25" i="19"/>
  <c r="Q24" i="19"/>
  <c r="N24" i="19"/>
  <c r="Q23" i="19"/>
  <c r="N23" i="19"/>
  <c r="R22" i="19"/>
  <c r="Q22" i="19"/>
  <c r="O22" i="19"/>
  <c r="N22" i="19"/>
  <c r="M22" i="19"/>
  <c r="J22" i="19"/>
  <c r="G22" i="19"/>
  <c r="D22" i="19"/>
  <c r="Q21" i="19"/>
  <c r="N21" i="19"/>
  <c r="Q20" i="19"/>
  <c r="N20" i="19"/>
  <c r="R19" i="19"/>
  <c r="Q19" i="19"/>
  <c r="O19" i="19"/>
  <c r="N19" i="19"/>
  <c r="M19" i="19"/>
  <c r="J19" i="19"/>
  <c r="G19" i="19"/>
  <c r="D19" i="19"/>
  <c r="Q18" i="19"/>
  <c r="N18" i="19"/>
  <c r="Q17" i="19"/>
  <c r="N17" i="19"/>
  <c r="R16" i="19"/>
  <c r="Q16" i="19"/>
  <c r="O16" i="19"/>
  <c r="N16" i="19"/>
  <c r="M16" i="19"/>
  <c r="J16" i="19"/>
  <c r="G16" i="19"/>
  <c r="D16" i="19"/>
  <c r="Q15" i="19"/>
  <c r="N15" i="19"/>
  <c r="Q14" i="19"/>
  <c r="N14" i="19"/>
  <c r="R13" i="19"/>
  <c r="Q13" i="19"/>
  <c r="O13" i="19"/>
  <c r="N13" i="19"/>
  <c r="M13" i="19"/>
  <c r="J13" i="19"/>
  <c r="G13" i="19"/>
  <c r="D13" i="19"/>
  <c r="Q12" i="19"/>
  <c r="N12" i="19"/>
  <c r="Q11" i="19"/>
  <c r="N11" i="19"/>
  <c r="R10" i="19"/>
  <c r="Q10" i="19"/>
  <c r="O10" i="19"/>
  <c r="N10" i="19"/>
  <c r="M10" i="19"/>
  <c r="J10" i="19"/>
  <c r="G10" i="19"/>
  <c r="D10" i="19"/>
  <c r="Q9" i="19"/>
  <c r="N9" i="19"/>
  <c r="Q8" i="19"/>
  <c r="N8" i="19"/>
  <c r="R7" i="19"/>
  <c r="Q7" i="19"/>
  <c r="O7" i="19"/>
  <c r="N7" i="19"/>
  <c r="M7" i="19"/>
  <c r="J7" i="19"/>
  <c r="G7" i="19"/>
  <c r="D7" i="19"/>
  <c r="Q6" i="19"/>
  <c r="N6" i="19"/>
  <c r="Q5" i="19"/>
  <c r="R4" i="19"/>
  <c r="Q4" i="19"/>
  <c r="O4" i="19"/>
  <c r="J4" i="19"/>
  <c r="G4" i="19"/>
  <c r="D4" i="19"/>
  <c r="R31" i="18"/>
  <c r="O31" i="18"/>
  <c r="Q29" i="18"/>
  <c r="N29" i="18"/>
  <c r="R28" i="18"/>
  <c r="Q28" i="18"/>
  <c r="O28" i="18"/>
  <c r="N28" i="18"/>
  <c r="M28" i="18"/>
  <c r="J28" i="18"/>
  <c r="G28" i="18"/>
  <c r="D28" i="18"/>
  <c r="Q27" i="18"/>
  <c r="N27" i="18"/>
  <c r="Q26" i="18"/>
  <c r="N26" i="18"/>
  <c r="R25" i="18"/>
  <c r="Q25" i="18"/>
  <c r="O25" i="18"/>
  <c r="N25" i="18"/>
  <c r="M25" i="18"/>
  <c r="J25" i="18"/>
  <c r="G25" i="18"/>
  <c r="D25" i="18"/>
  <c r="Q24" i="18"/>
  <c r="N24" i="18"/>
  <c r="Q23" i="18"/>
  <c r="N23" i="18"/>
  <c r="R22" i="18"/>
  <c r="Q22" i="18"/>
  <c r="O22" i="18"/>
  <c r="N22" i="18"/>
  <c r="M22" i="18"/>
  <c r="J22" i="18"/>
  <c r="G22" i="18"/>
  <c r="D22" i="18"/>
  <c r="Q21" i="18"/>
  <c r="N21" i="18"/>
  <c r="Q20" i="18"/>
  <c r="N20" i="18"/>
  <c r="R19" i="18"/>
  <c r="Q19" i="18"/>
  <c r="O19" i="18"/>
  <c r="P19" i="18" s="1"/>
  <c r="N19" i="18"/>
  <c r="M19" i="18"/>
  <c r="J19" i="18"/>
  <c r="G19" i="18"/>
  <c r="D19" i="18"/>
  <c r="Q18" i="18"/>
  <c r="N18" i="18"/>
  <c r="Q17" i="18"/>
  <c r="N17" i="18"/>
  <c r="R16" i="18"/>
  <c r="Q16" i="18"/>
  <c r="O16" i="18"/>
  <c r="N16" i="18"/>
  <c r="M16" i="18"/>
  <c r="J16" i="18"/>
  <c r="G16" i="18"/>
  <c r="D16" i="18"/>
  <c r="Q15" i="18"/>
  <c r="N15" i="18"/>
  <c r="Q14" i="18"/>
  <c r="N14" i="18"/>
  <c r="R13" i="18"/>
  <c r="Q13" i="18"/>
  <c r="O13" i="18"/>
  <c r="N13" i="18"/>
  <c r="M13" i="18"/>
  <c r="J13" i="18"/>
  <c r="G13" i="18"/>
  <c r="D13" i="18"/>
  <c r="Q12" i="18"/>
  <c r="N12" i="18"/>
  <c r="Q11" i="18"/>
  <c r="N11" i="18"/>
  <c r="R10" i="18"/>
  <c r="Q10" i="18"/>
  <c r="O10" i="18"/>
  <c r="N10" i="18"/>
  <c r="M10" i="18"/>
  <c r="J10" i="18"/>
  <c r="G10" i="18"/>
  <c r="D10" i="18"/>
  <c r="Q9" i="18"/>
  <c r="N9" i="18"/>
  <c r="Q8" i="18"/>
  <c r="N8" i="18"/>
  <c r="R7" i="18"/>
  <c r="Q7" i="18"/>
  <c r="O7" i="18"/>
  <c r="N7" i="18"/>
  <c r="M7" i="18"/>
  <c r="J7" i="18"/>
  <c r="G7" i="18"/>
  <c r="D7" i="18"/>
  <c r="Q6" i="18"/>
  <c r="N6" i="18"/>
  <c r="Q5" i="18"/>
  <c r="R4" i="18"/>
  <c r="Q4" i="18"/>
  <c r="O4" i="18"/>
  <c r="J4" i="18"/>
  <c r="G4" i="18"/>
  <c r="D4" i="18"/>
  <c r="F31" i="11"/>
  <c r="G31" i="11" s="1"/>
  <c r="F28" i="11"/>
  <c r="G28" i="11" s="1"/>
  <c r="F25" i="11"/>
  <c r="G25" i="11" s="1"/>
  <c r="F22" i="11"/>
  <c r="G22" i="11" s="1"/>
  <c r="F19" i="11"/>
  <c r="G19" i="11" s="1"/>
  <c r="F16" i="11"/>
  <c r="G16" i="11" s="1"/>
  <c r="F13" i="11"/>
  <c r="G13" i="11" s="1"/>
  <c r="F10" i="11"/>
  <c r="G10" i="11" s="1"/>
  <c r="F7" i="11"/>
  <c r="G7" i="11" s="1"/>
  <c r="F4" i="11"/>
  <c r="G4" i="11" s="1"/>
  <c r="D31" i="10"/>
  <c r="D28" i="10"/>
  <c r="D25" i="10"/>
  <c r="D22" i="10"/>
  <c r="D19" i="10"/>
  <c r="D16" i="10"/>
  <c r="D13" i="10"/>
  <c r="D10" i="10"/>
  <c r="D7" i="10"/>
  <c r="D4" i="10"/>
  <c r="E26" i="9"/>
  <c r="E25" i="9"/>
  <c r="E24" i="9"/>
  <c r="E23" i="9"/>
  <c r="E22" i="9"/>
  <c r="E21" i="9"/>
  <c r="E20" i="9"/>
  <c r="E19" i="9"/>
  <c r="E18" i="9"/>
  <c r="E17" i="9"/>
  <c r="E16" i="9"/>
  <c r="E15" i="9"/>
  <c r="E14" i="9"/>
  <c r="E13" i="9"/>
  <c r="E12" i="9"/>
  <c r="E11" i="9"/>
  <c r="K10" i="9"/>
  <c r="E10" i="9"/>
  <c r="K9" i="9"/>
  <c r="E9" i="9"/>
  <c r="K8" i="9"/>
  <c r="E8" i="9"/>
  <c r="K7" i="9"/>
  <c r="E7" i="9"/>
  <c r="K6" i="9"/>
  <c r="E6" i="9"/>
  <c r="K5" i="9"/>
  <c r="E5" i="9"/>
  <c r="K4" i="9"/>
  <c r="E4" i="9"/>
  <c r="K3" i="9"/>
  <c r="E3" i="9"/>
  <c r="E62" i="8"/>
  <c r="E61" i="8"/>
  <c r="E60" i="8"/>
  <c r="E59" i="8"/>
  <c r="E58" i="8"/>
  <c r="E57" i="8"/>
  <c r="E56" i="8"/>
  <c r="E55" i="8"/>
  <c r="E54" i="8"/>
  <c r="E53" i="8"/>
  <c r="E52" i="8"/>
  <c r="E51" i="8"/>
  <c r="E50" i="8"/>
  <c r="E49" i="8"/>
  <c r="E48" i="8"/>
  <c r="E47" i="8"/>
  <c r="E46" i="8"/>
  <c r="E45" i="8"/>
  <c r="E44" i="8"/>
  <c r="E43" i="8"/>
  <c r="E42" i="8"/>
  <c r="E41" i="8"/>
  <c r="E40" i="8"/>
  <c r="E39" i="8"/>
  <c r="E38" i="8"/>
  <c r="E37" i="8"/>
  <c r="E36" i="8"/>
  <c r="E35" i="8"/>
  <c r="E34" i="8"/>
  <c r="E33" i="8"/>
  <c r="E32" i="8"/>
  <c r="E31" i="8"/>
  <c r="H30" i="8"/>
  <c r="M30" i="8" s="1"/>
  <c r="E30" i="8"/>
  <c r="L29" i="8"/>
  <c r="K29" i="8"/>
  <c r="O29" i="8" s="1"/>
  <c r="J29" i="8"/>
  <c r="I29" i="8"/>
  <c r="I30" i="8" s="1"/>
  <c r="I31" i="8" s="1"/>
  <c r="I32" i="8" s="1"/>
  <c r="I33" i="8" s="1"/>
  <c r="I34" i="8" s="1"/>
  <c r="I35" i="8" s="1"/>
  <c r="I36" i="8" s="1"/>
  <c r="I37" i="8" s="1"/>
  <c r="E29" i="8"/>
  <c r="L28" i="8"/>
  <c r="K28" i="8"/>
  <c r="O28" i="8" s="1"/>
  <c r="J28" i="8"/>
  <c r="E28" i="8"/>
  <c r="E27" i="8"/>
  <c r="E26" i="8"/>
  <c r="E25" i="8"/>
  <c r="E24" i="8"/>
  <c r="E23" i="8"/>
  <c r="E22" i="8"/>
  <c r="E21" i="8"/>
  <c r="E20" i="8"/>
  <c r="E19" i="8"/>
  <c r="E18" i="8"/>
  <c r="E17" i="8"/>
  <c r="E16" i="8"/>
  <c r="E15" i="8"/>
  <c r="E14" i="8"/>
  <c r="E13" i="8"/>
  <c r="E12" i="8"/>
  <c r="E11" i="8"/>
  <c r="E10" i="8"/>
  <c r="E9" i="8"/>
  <c r="E8" i="8"/>
  <c r="E7" i="8"/>
  <c r="E6" i="8"/>
  <c r="E5" i="8"/>
  <c r="E4" i="8"/>
  <c r="E3" i="8"/>
  <c r="Y35" i="7"/>
  <c r="X35" i="7"/>
  <c r="V35" i="7"/>
  <c r="U35" i="7"/>
  <c r="R35" i="7"/>
  <c r="Q35" i="7"/>
  <c r="O35" i="7"/>
  <c r="N35" i="7"/>
  <c r="L35" i="7"/>
  <c r="K35" i="7"/>
  <c r="I35" i="7"/>
  <c r="H35" i="7"/>
  <c r="F35" i="7"/>
  <c r="E35" i="7"/>
  <c r="C35" i="7"/>
  <c r="B35" i="7"/>
  <c r="Y34" i="7"/>
  <c r="X34" i="7"/>
  <c r="V34" i="7"/>
  <c r="U34" i="7"/>
  <c r="R34" i="7"/>
  <c r="Q34" i="7"/>
  <c r="O34" i="7"/>
  <c r="N34" i="7"/>
  <c r="L34" i="7"/>
  <c r="K34" i="7"/>
  <c r="I34" i="7"/>
  <c r="H34" i="7"/>
  <c r="F34" i="7"/>
  <c r="E34" i="7"/>
  <c r="C34" i="7"/>
  <c r="B34" i="7"/>
  <c r="Y33" i="7"/>
  <c r="X33" i="7"/>
  <c r="V33" i="7"/>
  <c r="U33" i="7"/>
  <c r="R33" i="7"/>
  <c r="Q33" i="7"/>
  <c r="O33" i="7"/>
  <c r="N33" i="7"/>
  <c r="L33" i="7"/>
  <c r="K33" i="7"/>
  <c r="I33" i="7"/>
  <c r="H33" i="7"/>
  <c r="F33" i="7"/>
  <c r="E33" i="7"/>
  <c r="C33" i="7"/>
  <c r="B33" i="7"/>
  <c r="Y32" i="7"/>
  <c r="X32" i="7"/>
  <c r="V32" i="7"/>
  <c r="U32" i="7"/>
  <c r="R32" i="7"/>
  <c r="Q32" i="7"/>
  <c r="O32" i="7"/>
  <c r="N32" i="7"/>
  <c r="L32" i="7"/>
  <c r="K32" i="7"/>
  <c r="I32" i="7"/>
  <c r="H32" i="7"/>
  <c r="F32" i="7"/>
  <c r="E32" i="7"/>
  <c r="C32" i="7"/>
  <c r="B32" i="7"/>
  <c r="Z31" i="7"/>
  <c r="S31" i="7"/>
  <c r="W29" i="7"/>
  <c r="P29" i="7"/>
  <c r="Z28" i="7"/>
  <c r="W28" i="7"/>
  <c r="S28" i="7"/>
  <c r="P28" i="7"/>
  <c r="M28" i="7"/>
  <c r="J28" i="7"/>
  <c r="G28" i="7"/>
  <c r="D28" i="7"/>
  <c r="W27" i="7"/>
  <c r="P27" i="7"/>
  <c r="W26" i="7"/>
  <c r="P26" i="7"/>
  <c r="Z25" i="7"/>
  <c r="W25" i="7"/>
  <c r="S25" i="7"/>
  <c r="P25" i="7"/>
  <c r="M25" i="7"/>
  <c r="J25" i="7"/>
  <c r="G25" i="7"/>
  <c r="D25" i="7"/>
  <c r="W24" i="7"/>
  <c r="P24" i="7"/>
  <c r="W23" i="7"/>
  <c r="P23" i="7"/>
  <c r="Z22" i="7"/>
  <c r="W22" i="7"/>
  <c r="S22" i="7"/>
  <c r="P22" i="7"/>
  <c r="M22" i="7"/>
  <c r="J22" i="7"/>
  <c r="G22" i="7"/>
  <c r="D22" i="7"/>
  <c r="W21" i="7"/>
  <c r="P21" i="7"/>
  <c r="W20" i="7"/>
  <c r="P20" i="7"/>
  <c r="Z19" i="7"/>
  <c r="W19" i="7"/>
  <c r="S19" i="7"/>
  <c r="P19" i="7"/>
  <c r="M19" i="7"/>
  <c r="J19" i="7"/>
  <c r="G19" i="7"/>
  <c r="D19" i="7"/>
  <c r="W18" i="7"/>
  <c r="P18" i="7"/>
  <c r="W17" i="7"/>
  <c r="P17" i="7"/>
  <c r="Z16" i="7"/>
  <c r="W16" i="7"/>
  <c r="S16" i="7"/>
  <c r="P16" i="7"/>
  <c r="M16" i="7"/>
  <c r="J16" i="7"/>
  <c r="G16" i="7"/>
  <c r="D16" i="7"/>
  <c r="W15" i="7"/>
  <c r="P15" i="7"/>
  <c r="W14" i="7"/>
  <c r="P14" i="7"/>
  <c r="Z13" i="7"/>
  <c r="W13" i="7"/>
  <c r="S13" i="7"/>
  <c r="P13" i="7"/>
  <c r="M13" i="7"/>
  <c r="J13" i="7"/>
  <c r="G13" i="7"/>
  <c r="D13" i="7"/>
  <c r="W12" i="7"/>
  <c r="P12" i="7"/>
  <c r="W11" i="7"/>
  <c r="P11" i="7"/>
  <c r="Z10" i="7"/>
  <c r="W10" i="7"/>
  <c r="S10" i="7"/>
  <c r="P10" i="7"/>
  <c r="M10" i="7"/>
  <c r="J10" i="7"/>
  <c r="G10" i="7"/>
  <c r="D10" i="7"/>
  <c r="W9" i="7"/>
  <c r="P9" i="7"/>
  <c r="W8" i="7"/>
  <c r="P8" i="7"/>
  <c r="Z7" i="7"/>
  <c r="W7" i="7"/>
  <c r="S7" i="7"/>
  <c r="P7" i="7"/>
  <c r="M7" i="7"/>
  <c r="J7" i="7"/>
  <c r="G7" i="7"/>
  <c r="D7" i="7"/>
  <c r="W6" i="7"/>
  <c r="P6" i="7"/>
  <c r="W5" i="7"/>
  <c r="Z4" i="7"/>
  <c r="W4" i="7"/>
  <c r="S4" i="7"/>
  <c r="J4" i="7"/>
  <c r="G4" i="7"/>
  <c r="D4" i="7"/>
  <c r="Y35" i="6"/>
  <c r="X35" i="6"/>
  <c r="V35" i="6"/>
  <c r="U35" i="6"/>
  <c r="R35" i="6"/>
  <c r="Q35" i="6"/>
  <c r="O35" i="6"/>
  <c r="N35" i="6"/>
  <c r="L35" i="6"/>
  <c r="K35" i="6"/>
  <c r="I35" i="6"/>
  <c r="H35" i="6"/>
  <c r="F35" i="6"/>
  <c r="E35" i="6"/>
  <c r="C35" i="6"/>
  <c r="B35" i="6"/>
  <c r="Y34" i="6"/>
  <c r="X34" i="6"/>
  <c r="V34" i="6"/>
  <c r="U34" i="6"/>
  <c r="R34" i="6"/>
  <c r="Q34" i="6"/>
  <c r="O34" i="6"/>
  <c r="N34" i="6"/>
  <c r="L34" i="6"/>
  <c r="K34" i="6"/>
  <c r="I34" i="6"/>
  <c r="H34" i="6"/>
  <c r="F34" i="6"/>
  <c r="E34" i="6"/>
  <c r="C34" i="6"/>
  <c r="B34" i="6"/>
  <c r="Y33" i="6"/>
  <c r="X33" i="6"/>
  <c r="V33" i="6"/>
  <c r="U33" i="6"/>
  <c r="R33" i="6"/>
  <c r="Q33" i="6"/>
  <c r="O33" i="6"/>
  <c r="N33" i="6"/>
  <c r="L33" i="6"/>
  <c r="K33" i="6"/>
  <c r="I33" i="6"/>
  <c r="H33" i="6"/>
  <c r="F33" i="6"/>
  <c r="E33" i="6"/>
  <c r="C33" i="6"/>
  <c r="B33" i="6"/>
  <c r="Y32" i="6"/>
  <c r="X32" i="6"/>
  <c r="V32" i="6"/>
  <c r="U32" i="6"/>
  <c r="R32" i="6"/>
  <c r="Q32" i="6"/>
  <c r="O32" i="6"/>
  <c r="N32" i="6"/>
  <c r="L32" i="6"/>
  <c r="K32" i="6"/>
  <c r="I32" i="6"/>
  <c r="H32" i="6"/>
  <c r="F32" i="6"/>
  <c r="E32" i="6"/>
  <c r="C32" i="6"/>
  <c r="B32" i="6"/>
  <c r="Z31" i="6"/>
  <c r="S31" i="6"/>
  <c r="W29" i="6"/>
  <c r="P29" i="6"/>
  <c r="Z28" i="6"/>
  <c r="W28" i="6"/>
  <c r="S28" i="6"/>
  <c r="P28" i="6"/>
  <c r="M28" i="6"/>
  <c r="J28" i="6"/>
  <c r="G28" i="6"/>
  <c r="D28" i="6"/>
  <c r="W27" i="6"/>
  <c r="P27" i="6"/>
  <c r="W26" i="6"/>
  <c r="P26" i="6"/>
  <c r="Z25" i="6"/>
  <c r="W25" i="6"/>
  <c r="S25" i="6"/>
  <c r="P25" i="6"/>
  <c r="M25" i="6"/>
  <c r="J25" i="6"/>
  <c r="G25" i="6"/>
  <c r="D25" i="6"/>
  <c r="W24" i="6"/>
  <c r="P24" i="6"/>
  <c r="W23" i="6"/>
  <c r="P23" i="6"/>
  <c r="Z22" i="6"/>
  <c r="W22" i="6"/>
  <c r="S22" i="6"/>
  <c r="P22" i="6"/>
  <c r="M22" i="6"/>
  <c r="J22" i="6"/>
  <c r="G22" i="6"/>
  <c r="D22" i="6"/>
  <c r="W21" i="6"/>
  <c r="P21" i="6"/>
  <c r="W20" i="6"/>
  <c r="P20" i="6"/>
  <c r="Z19" i="6"/>
  <c r="W19" i="6"/>
  <c r="S19" i="6"/>
  <c r="P19" i="6"/>
  <c r="M19" i="6"/>
  <c r="J19" i="6"/>
  <c r="G19" i="6"/>
  <c r="D19" i="6"/>
  <c r="W18" i="6"/>
  <c r="P18" i="6"/>
  <c r="W17" i="6"/>
  <c r="P17" i="6"/>
  <c r="Z16" i="6"/>
  <c r="W16" i="6"/>
  <c r="S16" i="6"/>
  <c r="P16" i="6"/>
  <c r="M16" i="6"/>
  <c r="J16" i="6"/>
  <c r="G16" i="6"/>
  <c r="D16" i="6"/>
  <c r="W15" i="6"/>
  <c r="P15" i="6"/>
  <c r="W14" i="6"/>
  <c r="P14" i="6"/>
  <c r="Z13" i="6"/>
  <c r="W13" i="6"/>
  <c r="S13" i="6"/>
  <c r="P13" i="6"/>
  <c r="M13" i="6"/>
  <c r="J13" i="6"/>
  <c r="G13" i="6"/>
  <c r="D13" i="6"/>
  <c r="W12" i="6"/>
  <c r="P12" i="6"/>
  <c r="W11" i="6"/>
  <c r="P11" i="6"/>
  <c r="Z10" i="6"/>
  <c r="W10" i="6"/>
  <c r="S10" i="6"/>
  <c r="P10" i="6"/>
  <c r="M10" i="6"/>
  <c r="J10" i="6"/>
  <c r="G10" i="6"/>
  <c r="D10" i="6"/>
  <c r="W9" i="6"/>
  <c r="P9" i="6"/>
  <c r="W8" i="6"/>
  <c r="P8" i="6"/>
  <c r="Z7" i="6"/>
  <c r="W7" i="6"/>
  <c r="S7" i="6"/>
  <c r="P7" i="6"/>
  <c r="M7" i="6"/>
  <c r="J7" i="6"/>
  <c r="G7" i="6"/>
  <c r="D7" i="6"/>
  <c r="W6" i="6"/>
  <c r="P6" i="6"/>
  <c r="W5" i="6"/>
  <c r="Z4" i="6"/>
  <c r="W4" i="6"/>
  <c r="S4" i="6"/>
  <c r="J4" i="6"/>
  <c r="G4" i="6"/>
  <c r="D4" i="6"/>
  <c r="Z31" i="4"/>
  <c r="S31" i="4"/>
  <c r="W29" i="4"/>
  <c r="P29" i="4"/>
  <c r="Z28" i="4"/>
  <c r="W28" i="4"/>
  <c r="S28" i="4"/>
  <c r="P28" i="4"/>
  <c r="W27" i="4"/>
  <c r="P27" i="4"/>
  <c r="W26" i="4"/>
  <c r="P26" i="4"/>
  <c r="Z25" i="4"/>
  <c r="W25" i="4"/>
  <c r="S25" i="4"/>
  <c r="P25" i="4"/>
  <c r="W24" i="4"/>
  <c r="P24" i="4"/>
  <c r="W23" i="4"/>
  <c r="P23" i="4"/>
  <c r="Z22" i="4"/>
  <c r="W22" i="4"/>
  <c r="S22" i="4"/>
  <c r="P22" i="4"/>
  <c r="W21" i="4"/>
  <c r="P21" i="4"/>
  <c r="W20" i="4"/>
  <c r="P20" i="4"/>
  <c r="Z19" i="4"/>
  <c r="W19" i="4"/>
  <c r="S19" i="4"/>
  <c r="P19" i="4"/>
  <c r="W18" i="4"/>
  <c r="P18" i="4"/>
  <c r="W17" i="4"/>
  <c r="P17" i="4"/>
  <c r="Z16" i="4"/>
  <c r="W16" i="4"/>
  <c r="S16" i="4"/>
  <c r="P16" i="4"/>
  <c r="W15" i="4"/>
  <c r="P15" i="4"/>
  <c r="W14" i="4"/>
  <c r="P14" i="4"/>
  <c r="Z13" i="4"/>
  <c r="W13" i="4"/>
  <c r="S13" i="4"/>
  <c r="P13" i="4"/>
  <c r="W12" i="4"/>
  <c r="P12" i="4"/>
  <c r="W11" i="4"/>
  <c r="P11" i="4"/>
  <c r="Z10" i="4"/>
  <c r="AA10" i="4" s="1"/>
  <c r="W10" i="4"/>
  <c r="S10" i="4"/>
  <c r="P10" i="4"/>
  <c r="W9" i="4"/>
  <c r="P9" i="4"/>
  <c r="W8" i="4"/>
  <c r="P8" i="4"/>
  <c r="Z7" i="4"/>
  <c r="W7" i="4"/>
  <c r="S7" i="4"/>
  <c r="P7" i="4"/>
  <c r="W6" i="4"/>
  <c r="P6" i="4"/>
  <c r="W5" i="4"/>
  <c r="Z4" i="4"/>
  <c r="W4" i="4"/>
  <c r="S4" i="4"/>
  <c r="J31" i="3"/>
  <c r="I31" i="3"/>
  <c r="K31" i="3" s="1"/>
  <c r="E31" i="3"/>
  <c r="D31" i="3"/>
  <c r="T28" i="3"/>
  <c r="S28" i="3"/>
  <c r="U28" i="3" s="1"/>
  <c r="O28" i="3"/>
  <c r="N28" i="3"/>
  <c r="P28" i="3" s="1"/>
  <c r="J28" i="3"/>
  <c r="I28" i="3"/>
  <c r="K28" i="3" s="1"/>
  <c r="E28" i="3"/>
  <c r="D28" i="3"/>
  <c r="T25" i="3"/>
  <c r="S25" i="3"/>
  <c r="U25" i="3" s="1"/>
  <c r="O25" i="3"/>
  <c r="N25" i="3"/>
  <c r="P25" i="3" s="1"/>
  <c r="J25" i="3"/>
  <c r="I25" i="3"/>
  <c r="K25" i="3" s="1"/>
  <c r="E25" i="3"/>
  <c r="D25" i="3"/>
  <c r="T22" i="3"/>
  <c r="S22" i="3"/>
  <c r="U22" i="3" s="1"/>
  <c r="O22" i="3"/>
  <c r="N22" i="3"/>
  <c r="P22" i="3" s="1"/>
  <c r="J22" i="3"/>
  <c r="I22" i="3"/>
  <c r="K22" i="3" s="1"/>
  <c r="E22" i="3"/>
  <c r="D22" i="3"/>
  <c r="T19" i="3"/>
  <c r="S19" i="3"/>
  <c r="U19" i="3" s="1"/>
  <c r="O19" i="3"/>
  <c r="N19" i="3"/>
  <c r="P19" i="3" s="1"/>
  <c r="J19" i="3"/>
  <c r="I19" i="3"/>
  <c r="K19" i="3" s="1"/>
  <c r="E19" i="3"/>
  <c r="D19" i="3"/>
  <c r="T16" i="3"/>
  <c r="S16" i="3"/>
  <c r="U16" i="3" s="1"/>
  <c r="O16" i="3"/>
  <c r="N16" i="3"/>
  <c r="P16" i="3" s="1"/>
  <c r="J16" i="3"/>
  <c r="I16" i="3"/>
  <c r="K16" i="3" s="1"/>
  <c r="E16" i="3"/>
  <c r="D16" i="3"/>
  <c r="T13" i="3"/>
  <c r="S13" i="3"/>
  <c r="U13" i="3" s="1"/>
  <c r="O13" i="3"/>
  <c r="N13" i="3"/>
  <c r="P13" i="3" s="1"/>
  <c r="J13" i="3"/>
  <c r="I13" i="3"/>
  <c r="K13" i="3" s="1"/>
  <c r="E13" i="3"/>
  <c r="D13" i="3"/>
  <c r="T10" i="3"/>
  <c r="S10" i="3"/>
  <c r="U10" i="3" s="1"/>
  <c r="O10" i="3"/>
  <c r="N10" i="3"/>
  <c r="P10" i="3" s="1"/>
  <c r="J10" i="3"/>
  <c r="I10" i="3"/>
  <c r="K10" i="3" s="1"/>
  <c r="E10" i="3"/>
  <c r="D10" i="3"/>
  <c r="T7" i="3"/>
  <c r="S7" i="3"/>
  <c r="U7" i="3" s="1"/>
  <c r="O7" i="3"/>
  <c r="N7" i="3"/>
  <c r="P7" i="3" s="1"/>
  <c r="J7" i="3"/>
  <c r="I7" i="3"/>
  <c r="K7" i="3" s="1"/>
  <c r="E7" i="3"/>
  <c r="D7" i="3"/>
  <c r="O4" i="3"/>
  <c r="N4" i="3"/>
  <c r="P4" i="3" s="1"/>
  <c r="J4" i="3"/>
  <c r="I4" i="3"/>
  <c r="K4" i="3" s="1"/>
  <c r="E4" i="3"/>
  <c r="D4" i="3"/>
  <c r="J31" i="1"/>
  <c r="D31" i="1"/>
  <c r="J28" i="1"/>
  <c r="D28" i="1"/>
  <c r="J25" i="1"/>
  <c r="D25" i="1"/>
  <c r="J22" i="1"/>
  <c r="D22" i="1"/>
  <c r="J19" i="1"/>
  <c r="D19" i="1"/>
  <c r="J16" i="1"/>
  <c r="D16" i="1"/>
  <c r="J13" i="1"/>
  <c r="D13" i="1"/>
  <c r="J10" i="1"/>
  <c r="D10" i="1"/>
  <c r="J7" i="1"/>
  <c r="D7" i="1"/>
  <c r="J4" i="1"/>
  <c r="D4" i="1"/>
  <c r="CQ16" i="27" l="1"/>
  <c r="CQ28" i="27"/>
  <c r="CQ13" i="27"/>
  <c r="CQ25" i="27"/>
  <c r="CQ10" i="27"/>
  <c r="CQ22" i="27"/>
  <c r="CQ7" i="27"/>
  <c r="CQ19" i="27"/>
  <c r="BZ9" i="27"/>
  <c r="CK9" i="27"/>
  <c r="BZ14" i="27"/>
  <c r="CK14" i="27"/>
  <c r="BM21" i="27"/>
  <c r="CK21" i="27"/>
  <c r="BZ26" i="27"/>
  <c r="CK26" i="27"/>
  <c r="BM18" i="27"/>
  <c r="CK18" i="27"/>
  <c r="BM23" i="27"/>
  <c r="CK23" i="27"/>
  <c r="BM8" i="27"/>
  <c r="CK8" i="27"/>
  <c r="BM15" i="27"/>
  <c r="CK15" i="27"/>
  <c r="BM20" i="27"/>
  <c r="CK20" i="27"/>
  <c r="BM27" i="27"/>
  <c r="CK27" i="27"/>
  <c r="BM6" i="27"/>
  <c r="CK6" i="27"/>
  <c r="BZ11" i="27"/>
  <c r="CK11" i="27"/>
  <c r="BM5" i="27"/>
  <c r="CI5" i="27" s="1"/>
  <c r="CJ5" i="27" s="1"/>
  <c r="CZ5" i="27" s="1"/>
  <c r="CK5" i="27"/>
  <c r="BZ12" i="27"/>
  <c r="CK12" i="27"/>
  <c r="BM17" i="27"/>
  <c r="CK17" i="27"/>
  <c r="BZ24" i="27"/>
  <c r="CK24" i="27"/>
  <c r="BM29" i="27"/>
  <c r="CK29" i="27"/>
  <c r="BS4" i="27"/>
  <c r="CK4" i="27"/>
  <c r="CQ4" i="27" s="1"/>
  <c r="BZ10" i="27"/>
  <c r="CE10" i="27" s="1"/>
  <c r="BS10" i="27"/>
  <c r="CD10" i="27"/>
  <c r="BZ25" i="27"/>
  <c r="CE25" i="27" s="1"/>
  <c r="BS25" i="27"/>
  <c r="CD25" i="27"/>
  <c r="BZ13" i="27"/>
  <c r="CE13" i="27" s="1"/>
  <c r="BS13" i="27"/>
  <c r="CD13" i="27"/>
  <c r="BM28" i="27"/>
  <c r="BS28" i="27"/>
  <c r="CD28" i="27"/>
  <c r="BM16" i="27"/>
  <c r="BS16" i="27"/>
  <c r="CD16" i="27"/>
  <c r="CD4" i="27"/>
  <c r="BZ19" i="27"/>
  <c r="CE19" i="27" s="1"/>
  <c r="BS19" i="27"/>
  <c r="CD19" i="27"/>
  <c r="BM7" i="27"/>
  <c r="BS7" i="27"/>
  <c r="CD7" i="27"/>
  <c r="BM22" i="27"/>
  <c r="BS22" i="27"/>
  <c r="CD22" i="27"/>
  <c r="J20" i="27"/>
  <c r="J23" i="27"/>
  <c r="J30" i="27"/>
  <c r="AA13" i="7"/>
  <c r="T10" i="7"/>
  <c r="T22" i="7"/>
  <c r="X4" i="3"/>
  <c r="P22" i="18"/>
  <c r="P28" i="18"/>
  <c r="BM24" i="27"/>
  <c r="P13" i="19"/>
  <c r="T25" i="7"/>
  <c r="S10" i="19"/>
  <c r="BM4" i="27"/>
  <c r="CI4" i="27" s="1"/>
  <c r="CJ4" i="27" s="1"/>
  <c r="BM19" i="27"/>
  <c r="T28" i="4"/>
  <c r="G34" i="7"/>
  <c r="P19" i="19"/>
  <c r="P25" i="19"/>
  <c r="T25" i="4"/>
  <c r="BM13" i="27"/>
  <c r="BM12" i="27"/>
  <c r="BZ21" i="27"/>
  <c r="S4" i="9"/>
  <c r="P35" i="6"/>
  <c r="S7" i="18"/>
  <c r="S19" i="18"/>
  <c r="P7" i="19"/>
  <c r="AA28" i="6"/>
  <c r="J11" i="27"/>
  <c r="T22" i="6"/>
  <c r="AA4" i="6"/>
  <c r="T13" i="6"/>
  <c r="AA28" i="7"/>
  <c r="T13" i="7"/>
  <c r="S19" i="19"/>
  <c r="T16" i="6"/>
  <c r="T28" i="6"/>
  <c r="AA22" i="4"/>
  <c r="S4" i="18"/>
  <c r="J18" i="27"/>
  <c r="AA25" i="7"/>
  <c r="P10" i="19"/>
  <c r="J12" i="27"/>
  <c r="J25" i="27"/>
  <c r="S5" i="9"/>
  <c r="AA16" i="6"/>
  <c r="S28" i="18"/>
  <c r="P22" i="19"/>
  <c r="BZ6" i="27"/>
  <c r="BM9" i="27"/>
  <c r="J15" i="27"/>
  <c r="S34" i="7"/>
  <c r="J33" i="7"/>
  <c r="J21" i="27"/>
  <c r="J27" i="27"/>
  <c r="T7" i="4"/>
  <c r="T10" i="4"/>
  <c r="M35" i="7"/>
  <c r="AA16" i="7"/>
  <c r="S4" i="19"/>
  <c r="S28" i="19"/>
  <c r="J4" i="27"/>
  <c r="J8" i="27"/>
  <c r="J17" i="27"/>
  <c r="BZ18" i="27"/>
  <c r="J24" i="27"/>
  <c r="J7" i="27"/>
  <c r="J14" i="27"/>
  <c r="J29" i="27"/>
  <c r="J5" i="27"/>
  <c r="J22" i="27"/>
  <c r="AA7" i="6"/>
  <c r="AA13" i="6"/>
  <c r="AA25" i="6"/>
  <c r="T7" i="7"/>
  <c r="T19" i="7"/>
  <c r="J30" i="8"/>
  <c r="J10" i="27"/>
  <c r="J13" i="27"/>
  <c r="J16" i="27"/>
  <c r="S2" i="9"/>
  <c r="J9" i="27"/>
  <c r="S10" i="18"/>
  <c r="AA4" i="4"/>
  <c r="AA13" i="4"/>
  <c r="AA16" i="4"/>
  <c r="AA25" i="4"/>
  <c r="D35" i="6"/>
  <c r="T10" i="6"/>
  <c r="P10" i="18"/>
  <c r="P16" i="18"/>
  <c r="J6" i="27"/>
  <c r="BZ8" i="27"/>
  <c r="BM14" i="27"/>
  <c r="J19" i="27"/>
  <c r="J26" i="27"/>
  <c r="J28" i="27"/>
  <c r="S3" i="9"/>
  <c r="Q30" i="20"/>
  <c r="Q29" i="8"/>
  <c r="Q28" i="8"/>
  <c r="P29" i="8"/>
  <c r="N28" i="8"/>
  <c r="P28" i="8"/>
  <c r="F25" i="3"/>
  <c r="X25" i="3"/>
  <c r="Z25" i="3" s="1"/>
  <c r="S35" i="6"/>
  <c r="AA19" i="6"/>
  <c r="AA10" i="7"/>
  <c r="T28" i="7"/>
  <c r="S13" i="18"/>
  <c r="P25" i="18"/>
  <c r="P16" i="19"/>
  <c r="S25" i="19"/>
  <c r="BM26" i="27"/>
  <c r="R5" i="9"/>
  <c r="BZ7" i="27"/>
  <c r="CE7" i="27" s="1"/>
  <c r="BZ22" i="27"/>
  <c r="CE22" i="27" s="1"/>
  <c r="BZ23" i="27"/>
  <c r="F16" i="3"/>
  <c r="X16" i="3"/>
  <c r="Z16" i="3" s="1"/>
  <c r="W35" i="6"/>
  <c r="T13" i="4"/>
  <c r="T16" i="4"/>
  <c r="M34" i="6"/>
  <c r="AA22" i="7"/>
  <c r="S25" i="18"/>
  <c r="S16" i="19"/>
  <c r="P28" i="19"/>
  <c r="BM25" i="27"/>
  <c r="F28" i="3"/>
  <c r="X28" i="3"/>
  <c r="Z28" i="3" s="1"/>
  <c r="F4" i="3"/>
  <c r="Z4" i="3"/>
  <c r="F7" i="3"/>
  <c r="X7" i="3"/>
  <c r="Z7" i="3" s="1"/>
  <c r="F19" i="3"/>
  <c r="X19" i="3"/>
  <c r="Z19" i="3" s="1"/>
  <c r="F31" i="3"/>
  <c r="AA7" i="4"/>
  <c r="T19" i="4"/>
  <c r="T22" i="4"/>
  <c r="T7" i="6"/>
  <c r="AA10" i="6"/>
  <c r="P32" i="7"/>
  <c r="S22" i="19"/>
  <c r="BM10" i="27"/>
  <c r="BM11" i="27"/>
  <c r="BZ20" i="27"/>
  <c r="AA7" i="7"/>
  <c r="F10" i="3"/>
  <c r="X10" i="3"/>
  <c r="Z10" i="3" s="1"/>
  <c r="F22" i="3"/>
  <c r="X22" i="3"/>
  <c r="Z22" i="3" s="1"/>
  <c r="AA19" i="4"/>
  <c r="AA28" i="4"/>
  <c r="D34" i="6"/>
  <c r="J34" i="6"/>
  <c r="T19" i="6"/>
  <c r="AA22" i="6"/>
  <c r="P7" i="18"/>
  <c r="S16" i="18"/>
  <c r="S7" i="19"/>
  <c r="R2" i="9"/>
  <c r="F13" i="3"/>
  <c r="X13" i="3"/>
  <c r="Z13" i="3" s="1"/>
  <c r="G35" i="6"/>
  <c r="T25" i="6"/>
  <c r="J35" i="7"/>
  <c r="T16" i="7"/>
  <c r="AA19" i="7"/>
  <c r="P13" i="18"/>
  <c r="S22" i="18"/>
  <c r="S13" i="19"/>
  <c r="R3" i="9"/>
  <c r="R4" i="9"/>
  <c r="P30" i="20"/>
  <c r="K31" i="20"/>
  <c r="L31" i="20"/>
  <c r="J31" i="20"/>
  <c r="M31" i="20"/>
  <c r="H32" i="20"/>
  <c r="N29" i="8"/>
  <c r="P34" i="6"/>
  <c r="J32" i="6"/>
  <c r="Z34" i="6"/>
  <c r="W34" i="7"/>
  <c r="W32" i="7"/>
  <c r="AA4" i="7"/>
  <c r="W35" i="7"/>
  <c r="W33" i="7"/>
  <c r="Z35" i="7"/>
  <c r="P34" i="7"/>
  <c r="J35" i="6"/>
  <c r="J33" i="6"/>
  <c r="D33" i="6"/>
  <c r="J34" i="7"/>
  <c r="D35" i="7"/>
  <c r="D33" i="7"/>
  <c r="D34" i="7"/>
  <c r="Z35" i="6"/>
  <c r="Z33" i="7"/>
  <c r="Z32" i="6"/>
  <c r="P33" i="6"/>
  <c r="P35" i="7"/>
  <c r="P33" i="7"/>
  <c r="D32" i="7"/>
  <c r="G32" i="6"/>
  <c r="S32" i="6"/>
  <c r="W32" i="6"/>
  <c r="M33" i="6"/>
  <c r="G34" i="6"/>
  <c r="S34" i="6"/>
  <c r="W34" i="6"/>
  <c r="M35" i="6"/>
  <c r="M32" i="7"/>
  <c r="G33" i="7"/>
  <c r="S33" i="7"/>
  <c r="M34" i="7"/>
  <c r="G35" i="7"/>
  <c r="S35" i="7"/>
  <c r="D32" i="6"/>
  <c r="P32" i="6"/>
  <c r="Z33" i="6"/>
  <c r="J32" i="7"/>
  <c r="Z32" i="7"/>
  <c r="Z34" i="7"/>
  <c r="K30" i="8"/>
  <c r="O30" i="8" s="1"/>
  <c r="H31" i="8"/>
  <c r="M31" i="8" s="1"/>
  <c r="M32" i="6"/>
  <c r="G33" i="6"/>
  <c r="S33" i="6"/>
  <c r="W33" i="6"/>
  <c r="G32" i="7"/>
  <c r="S32" i="7"/>
  <c r="M33" i="7"/>
  <c r="L30" i="8"/>
  <c r="BZ4" i="27"/>
  <c r="CE4" i="27" s="1"/>
  <c r="BZ5" i="27"/>
  <c r="BZ15" i="27"/>
  <c r="BZ16" i="27"/>
  <c r="CE16" i="27" s="1"/>
  <c r="BZ17" i="27"/>
  <c r="BZ27" i="27"/>
  <c r="BZ28" i="27"/>
  <c r="CE28" i="27" s="1"/>
  <c r="BZ29" i="27"/>
  <c r="CI28" i="27" l="1"/>
  <c r="CJ28" i="27" s="1"/>
  <c r="DN28" i="27"/>
  <c r="CI13" i="27"/>
  <c r="CJ13" i="27" s="1"/>
  <c r="CP13" i="27" s="1"/>
  <c r="DN13" i="27"/>
  <c r="CI7" i="27"/>
  <c r="CJ7" i="27" s="1"/>
  <c r="CZ7" i="27" s="1"/>
  <c r="DE7" i="27" s="1"/>
  <c r="DN7" i="27"/>
  <c r="CI11" i="27"/>
  <c r="CJ11" i="27" s="1"/>
  <c r="CZ11" i="27" s="1"/>
  <c r="DN11" i="27"/>
  <c r="CI25" i="27"/>
  <c r="CJ25" i="27" s="1"/>
  <c r="CZ25" i="27" s="1"/>
  <c r="DE25" i="27" s="1"/>
  <c r="DN25" i="27"/>
  <c r="CI9" i="27"/>
  <c r="CJ9" i="27" s="1"/>
  <c r="CZ9" i="27" s="1"/>
  <c r="DN9" i="27"/>
  <c r="CI24" i="27"/>
  <c r="CJ24" i="27" s="1"/>
  <c r="CZ24" i="27" s="1"/>
  <c r="DN24" i="27"/>
  <c r="CI15" i="27"/>
  <c r="CJ15" i="27" s="1"/>
  <c r="CZ15" i="27" s="1"/>
  <c r="DN15" i="27"/>
  <c r="CI19" i="27"/>
  <c r="CJ19" i="27" s="1"/>
  <c r="DN19" i="27"/>
  <c r="CI17" i="27"/>
  <c r="CJ17" i="27" s="1"/>
  <c r="CZ17" i="27" s="1"/>
  <c r="DN17" i="27"/>
  <c r="CI6" i="27"/>
  <c r="CJ6" i="27" s="1"/>
  <c r="CZ6" i="27" s="1"/>
  <c r="DN6" i="27"/>
  <c r="CI8" i="27"/>
  <c r="CJ8" i="27" s="1"/>
  <c r="CZ8" i="27" s="1"/>
  <c r="DN8" i="27"/>
  <c r="CI21" i="27"/>
  <c r="CJ21" i="27" s="1"/>
  <c r="CZ21" i="27" s="1"/>
  <c r="DN21" i="27"/>
  <c r="CI14" i="27"/>
  <c r="CJ14" i="27" s="1"/>
  <c r="CZ14" i="27" s="1"/>
  <c r="DN14" i="27"/>
  <c r="CI12" i="27"/>
  <c r="CJ12" i="27" s="1"/>
  <c r="CZ12" i="27" s="1"/>
  <c r="DN12" i="27"/>
  <c r="CI22" i="27"/>
  <c r="CJ22" i="27" s="1"/>
  <c r="CP22" i="27" s="1"/>
  <c r="DN22" i="27"/>
  <c r="CI27" i="27"/>
  <c r="CJ27" i="27" s="1"/>
  <c r="CZ27" i="27" s="1"/>
  <c r="DN27" i="27"/>
  <c r="CI23" i="27"/>
  <c r="CJ23" i="27" s="1"/>
  <c r="CZ23" i="27" s="1"/>
  <c r="DN23" i="27"/>
  <c r="CI10" i="27"/>
  <c r="CJ10" i="27" s="1"/>
  <c r="CZ10" i="27" s="1"/>
  <c r="DE10" i="27" s="1"/>
  <c r="DN10" i="27"/>
  <c r="CI26" i="27"/>
  <c r="CJ26" i="27" s="1"/>
  <c r="CZ26" i="27" s="1"/>
  <c r="DN26" i="27"/>
  <c r="CI16" i="27"/>
  <c r="CJ16" i="27" s="1"/>
  <c r="CZ16" i="27" s="1"/>
  <c r="DE16" i="27" s="1"/>
  <c r="DN16" i="27"/>
  <c r="CI29" i="27"/>
  <c r="CJ29" i="27" s="1"/>
  <c r="CZ29" i="27" s="1"/>
  <c r="DN29" i="27"/>
  <c r="CI20" i="27"/>
  <c r="CJ20" i="27" s="1"/>
  <c r="CZ20" i="27" s="1"/>
  <c r="DN20" i="27"/>
  <c r="CI18" i="27"/>
  <c r="CJ18" i="27" s="1"/>
  <c r="CZ18" i="27" s="1"/>
  <c r="DN18" i="27"/>
  <c r="CQ36" i="27"/>
  <c r="CQ34" i="27"/>
  <c r="CQ35" i="27"/>
  <c r="BS35" i="27"/>
  <c r="CE35" i="27"/>
  <c r="CE36" i="27"/>
  <c r="CP19" i="27"/>
  <c r="CZ19" i="27"/>
  <c r="DE19" i="27" s="1"/>
  <c r="CP25" i="27"/>
  <c r="CE34" i="27"/>
  <c r="CP4" i="27"/>
  <c r="CZ4" i="27"/>
  <c r="DE4" i="27" s="1"/>
  <c r="CP28" i="27"/>
  <c r="CZ28" i="27"/>
  <c r="DE28" i="27" s="1"/>
  <c r="CP7" i="27"/>
  <c r="BS36" i="27"/>
  <c r="BS34" i="27"/>
  <c r="CD36" i="27"/>
  <c r="CD35" i="27"/>
  <c r="CD34" i="27"/>
  <c r="T32" i="7"/>
  <c r="T33" i="7"/>
  <c r="T33" i="6"/>
  <c r="T34" i="7"/>
  <c r="AA35" i="6"/>
  <c r="T35" i="6"/>
  <c r="AA32" i="4"/>
  <c r="R31" i="20"/>
  <c r="Q31" i="20"/>
  <c r="Q30" i="8"/>
  <c r="N30" i="8"/>
  <c r="P30" i="8"/>
  <c r="AA33" i="4"/>
  <c r="AA34" i="4"/>
  <c r="T35" i="7"/>
  <c r="T34" i="6"/>
  <c r="AA35" i="4"/>
  <c r="T32" i="6"/>
  <c r="AA32" i="6"/>
  <c r="AA34" i="6"/>
  <c r="AA33" i="6"/>
  <c r="N31" i="20"/>
  <c r="P31" i="20"/>
  <c r="K32" i="20"/>
  <c r="H33" i="20"/>
  <c r="J32" i="20"/>
  <c r="L32" i="20"/>
  <c r="M32" i="20"/>
  <c r="J31" i="8"/>
  <c r="L31" i="8"/>
  <c r="H32" i="8"/>
  <c r="M32" i="8" s="1"/>
  <c r="K31" i="8"/>
  <c r="O31" i="8" s="1"/>
  <c r="AA34" i="7"/>
  <c r="AA32" i="7"/>
  <c r="AA35" i="7"/>
  <c r="AA33" i="7"/>
  <c r="CP16" i="27" l="1"/>
  <c r="CZ13" i="27"/>
  <c r="DE13" i="27" s="1"/>
  <c r="DP22" i="27"/>
  <c r="DQ22" i="27" s="1"/>
  <c r="EM22" i="27" s="1"/>
  <c r="DO11" i="27"/>
  <c r="DP11" i="27" s="1"/>
  <c r="DQ11" i="27" s="1"/>
  <c r="EM11" i="27" s="1"/>
  <c r="DP20" i="27"/>
  <c r="DQ20" i="27" s="1"/>
  <c r="DO10" i="27"/>
  <c r="DP10" i="27" s="1"/>
  <c r="DQ10" i="27" s="1"/>
  <c r="EM10" i="27" s="1"/>
  <c r="DO12" i="27"/>
  <c r="DP12" i="27" s="1"/>
  <c r="DQ12" i="27" s="1"/>
  <c r="EM12" i="27" s="1"/>
  <c r="DO6" i="27"/>
  <c r="DP6" i="27" s="1"/>
  <c r="DQ6" i="27" s="1"/>
  <c r="EM6" i="27" s="1"/>
  <c r="DQ24" i="27"/>
  <c r="DO7" i="27"/>
  <c r="DP7" i="27" s="1"/>
  <c r="DQ7" i="27" s="1"/>
  <c r="EM7" i="27" s="1"/>
  <c r="DP26" i="27"/>
  <c r="DQ26" i="27" s="1"/>
  <c r="CZ22" i="27"/>
  <c r="DE22" i="27" s="1"/>
  <c r="DO29" i="27"/>
  <c r="DP29" i="27" s="1"/>
  <c r="DQ29" i="27" s="1"/>
  <c r="EM29" i="27" s="1"/>
  <c r="DP23" i="27"/>
  <c r="DQ23" i="27" s="1"/>
  <c r="DO14" i="27"/>
  <c r="DP14" i="27" s="1"/>
  <c r="DQ14" i="27" s="1"/>
  <c r="EM14" i="27" s="1"/>
  <c r="DO17" i="27"/>
  <c r="DP17" i="27" s="1"/>
  <c r="DQ17" i="27" s="1"/>
  <c r="EM17" i="27" s="1"/>
  <c r="DO9" i="27"/>
  <c r="DP9" i="27" s="1"/>
  <c r="DQ9" i="27" s="1"/>
  <c r="EM9" i="27" s="1"/>
  <c r="DO13" i="27"/>
  <c r="DP13" i="27" s="1"/>
  <c r="DQ13" i="27" s="1"/>
  <c r="EM13" i="27" s="1"/>
  <c r="DO8" i="27"/>
  <c r="DP8" i="27" s="1"/>
  <c r="DQ8" i="27" s="1"/>
  <c r="EM8" i="27" s="1"/>
  <c r="DO18" i="27"/>
  <c r="DP18" i="27" s="1"/>
  <c r="DQ18" i="27" s="1"/>
  <c r="EM18" i="27" s="1"/>
  <c r="CP10" i="27"/>
  <c r="CP34" i="27" s="1"/>
  <c r="DO16" i="27"/>
  <c r="DP16" i="27" s="1"/>
  <c r="DQ16" i="27" s="1"/>
  <c r="EM16" i="27" s="1"/>
  <c r="DO27" i="27"/>
  <c r="DP27" i="27" s="1"/>
  <c r="DQ27" i="27" s="1"/>
  <c r="EM27" i="27" s="1"/>
  <c r="DP21" i="27"/>
  <c r="DQ21" i="27" s="1"/>
  <c r="DO19" i="27"/>
  <c r="DP19" i="27" s="1"/>
  <c r="DQ19" i="27" s="1"/>
  <c r="EM19" i="27" s="1"/>
  <c r="DQ25" i="27"/>
  <c r="EM25" i="27" s="1"/>
  <c r="DP28" i="27"/>
  <c r="DQ28" i="27" s="1"/>
  <c r="EM28" i="27" s="1"/>
  <c r="DO15" i="27"/>
  <c r="DP15" i="27" s="1"/>
  <c r="DQ15" i="27" s="1"/>
  <c r="EM15" i="27" s="1"/>
  <c r="CP36" i="27"/>
  <c r="DE34" i="27"/>
  <c r="DE35" i="27"/>
  <c r="DE36" i="27"/>
  <c r="R32" i="20"/>
  <c r="Q32" i="20"/>
  <c r="Q31" i="8"/>
  <c r="P31" i="8"/>
  <c r="N32" i="20"/>
  <c r="P32" i="20"/>
  <c r="K33" i="20"/>
  <c r="H34" i="20"/>
  <c r="J33" i="20"/>
  <c r="M33" i="20"/>
  <c r="L33" i="20"/>
  <c r="N31" i="8"/>
  <c r="H33" i="8"/>
  <c r="M33" i="8" s="1"/>
  <c r="K32" i="8"/>
  <c r="O32" i="8" s="1"/>
  <c r="J32" i="8"/>
  <c r="L32" i="8"/>
  <c r="EP16" i="27" l="1"/>
  <c r="EE23" i="27"/>
  <c r="EM23" i="27"/>
  <c r="EW23" i="27" s="1"/>
  <c r="EP10" i="27"/>
  <c r="EP25" i="27"/>
  <c r="EW25" i="27"/>
  <c r="EZ25" i="27" s="1"/>
  <c r="EE21" i="27"/>
  <c r="EM21" i="27"/>
  <c r="EW21" i="27" s="1"/>
  <c r="EE20" i="27"/>
  <c r="EM20" i="27"/>
  <c r="EW20" i="27" s="1"/>
  <c r="EW28" i="27"/>
  <c r="EZ28" i="27" s="1"/>
  <c r="EP28" i="27"/>
  <c r="EE26" i="27"/>
  <c r="EM26" i="27"/>
  <c r="EW26" i="27" s="1"/>
  <c r="EW22" i="27"/>
  <c r="EZ22" i="27" s="1"/>
  <c r="EP22" i="27"/>
  <c r="EP13" i="27"/>
  <c r="EP7" i="27"/>
  <c r="EP19" i="27"/>
  <c r="EE24" i="27"/>
  <c r="EM24" i="27"/>
  <c r="EW24" i="27" s="1"/>
  <c r="DU19" i="27"/>
  <c r="DU10" i="27"/>
  <c r="DU22" i="27"/>
  <c r="EE22" i="27"/>
  <c r="EI22" i="27" s="1"/>
  <c r="DU16" i="27"/>
  <c r="EE28" i="27"/>
  <c r="EI28" i="27" s="1"/>
  <c r="DU28" i="27"/>
  <c r="EE25" i="27"/>
  <c r="DU13" i="27"/>
  <c r="DU7" i="27"/>
  <c r="CP35" i="27"/>
  <c r="Q33" i="20"/>
  <c r="R33" i="20"/>
  <c r="Q32" i="8"/>
  <c r="P32" i="8"/>
  <c r="N33" i="20"/>
  <c r="P33" i="20"/>
  <c r="K34" i="20"/>
  <c r="H35" i="20"/>
  <c r="J34" i="20"/>
  <c r="M34" i="20"/>
  <c r="L34" i="20"/>
  <c r="N32" i="8"/>
  <c r="L33" i="8"/>
  <c r="H34" i="8"/>
  <c r="M34" i="8" s="1"/>
  <c r="K33" i="8"/>
  <c r="O33" i="8" s="1"/>
  <c r="J33" i="8"/>
  <c r="EP34" i="27" l="1"/>
  <c r="EP36" i="27"/>
  <c r="EP35" i="27"/>
  <c r="DU35" i="27"/>
  <c r="DU34" i="27"/>
  <c r="DU36" i="27"/>
  <c r="Q34" i="20"/>
  <c r="R34" i="20"/>
  <c r="Q33" i="8"/>
  <c r="P33" i="8"/>
  <c r="N34" i="20"/>
  <c r="P34" i="20"/>
  <c r="K35" i="20"/>
  <c r="H36" i="20"/>
  <c r="J35" i="20"/>
  <c r="M35" i="20"/>
  <c r="L35" i="20"/>
  <c r="N33" i="8"/>
  <c r="L34" i="8"/>
  <c r="H35" i="8"/>
  <c r="M35" i="8" s="1"/>
  <c r="K34" i="8"/>
  <c r="Q34" i="8" s="1"/>
  <c r="J34" i="8"/>
  <c r="Q35" i="20" l="1"/>
  <c r="R35" i="20"/>
  <c r="P34" i="8"/>
  <c r="N35" i="20"/>
  <c r="P35" i="20"/>
  <c r="K36" i="20"/>
  <c r="J36" i="20"/>
  <c r="L36" i="20"/>
  <c r="M36" i="20"/>
  <c r="H37" i="20"/>
  <c r="O34" i="8"/>
  <c r="N34" i="8"/>
  <c r="J35" i="8"/>
  <c r="L35" i="8"/>
  <c r="H36" i="8"/>
  <c r="M36" i="8" s="1"/>
  <c r="K35" i="8"/>
  <c r="O35" i="8" s="1"/>
  <c r="Q36" i="20" l="1"/>
  <c r="R36" i="20"/>
  <c r="P35" i="8"/>
  <c r="Q35" i="8"/>
  <c r="N36" i="20"/>
  <c r="P36" i="20"/>
  <c r="K37" i="20"/>
  <c r="L37" i="20"/>
  <c r="J37" i="20"/>
  <c r="M37" i="20"/>
  <c r="N35" i="8"/>
  <c r="H37" i="8"/>
  <c r="M37" i="8" s="1"/>
  <c r="K36" i="8"/>
  <c r="Q36" i="8" s="1"/>
  <c r="J36" i="8"/>
  <c r="L36" i="8"/>
  <c r="R37" i="20" l="1"/>
  <c r="Q37" i="20"/>
  <c r="P36" i="8"/>
  <c r="N37" i="20"/>
  <c r="P37" i="20"/>
  <c r="O36" i="8"/>
  <c r="N36" i="8"/>
  <c r="L37" i="8"/>
  <c r="K37" i="8"/>
  <c r="Q37" i="8" s="1"/>
  <c r="J37" i="8"/>
  <c r="P37" i="8" l="1"/>
  <c r="O37" i="8"/>
  <c r="N37" i="8"/>
  <c r="DW11" i="27" l="1"/>
  <c r="DY11" i="27" s="1"/>
  <c r="DW29" i="27"/>
  <c r="DY29" i="27" s="1"/>
  <c r="DW27" i="27"/>
  <c r="DY27" i="27" s="1"/>
  <c r="DW7" i="27"/>
  <c r="DY7" i="27" s="1"/>
  <c r="DW8" i="27"/>
  <c r="DY8" i="27" s="1"/>
  <c r="DW19" i="27"/>
  <c r="DY19" i="27" s="1"/>
  <c r="DW15" i="27"/>
  <c r="DY15" i="27" s="1"/>
  <c r="DW14" i="27"/>
  <c r="DY14" i="27" s="1"/>
  <c r="DW16" i="27"/>
  <c r="DY16" i="27" s="1"/>
  <c r="DW10" i="27"/>
  <c r="DY10" i="27" s="1"/>
  <c r="DW18" i="27"/>
  <c r="DY18" i="27" s="1"/>
  <c r="DW6" i="27"/>
  <c r="DY6" i="27" s="1"/>
  <c r="DW12" i="27"/>
  <c r="DY12" i="27" s="1"/>
  <c r="DW9" i="27"/>
  <c r="DY9" i="27" s="1"/>
  <c r="DW13" i="27"/>
  <c r="DY13" i="27" s="1"/>
  <c r="DW17" i="27"/>
  <c r="DY17" i="27" s="1"/>
  <c r="EE12" i="27" l="1"/>
  <c r="ED12" i="27"/>
  <c r="ER12" i="27"/>
  <c r="EW12" i="27" s="1"/>
  <c r="ED13" i="27"/>
  <c r="EH13" i="27" s="1"/>
  <c r="ER13" i="27"/>
  <c r="EE27" i="27"/>
  <c r="ED27" i="27"/>
  <c r="ER27" i="27"/>
  <c r="EW27" i="27" s="1"/>
  <c r="EE17" i="27"/>
  <c r="ED17" i="27"/>
  <c r="ER17" i="27"/>
  <c r="EW17" i="27" s="1"/>
  <c r="EE15" i="27"/>
  <c r="ED15" i="27"/>
  <c r="ER15" i="27"/>
  <c r="EW15" i="27" s="1"/>
  <c r="ED19" i="27"/>
  <c r="EH19" i="27" s="1"/>
  <c r="ER19" i="27"/>
  <c r="EE6" i="27"/>
  <c r="ED6" i="27"/>
  <c r="ER6" i="27"/>
  <c r="EW6" i="27" s="1"/>
  <c r="EE18" i="27"/>
  <c r="ED18" i="27"/>
  <c r="ER18" i="27"/>
  <c r="EW18" i="27" s="1"/>
  <c r="EE29" i="27"/>
  <c r="ED29" i="27"/>
  <c r="ER29" i="27"/>
  <c r="EW29" i="27" s="1"/>
  <c r="EE14" i="27"/>
  <c r="ED14" i="27"/>
  <c r="ER14" i="27"/>
  <c r="EW14" i="27" s="1"/>
  <c r="EE9" i="27"/>
  <c r="ED9" i="27"/>
  <c r="ER9" i="27"/>
  <c r="EW9" i="27" s="1"/>
  <c r="EE8" i="27"/>
  <c r="ED8" i="27"/>
  <c r="ER8" i="27"/>
  <c r="EW8" i="27" s="1"/>
  <c r="ED7" i="27"/>
  <c r="EH7" i="27" s="1"/>
  <c r="ER7" i="27"/>
  <c r="ED10" i="27"/>
  <c r="EH10" i="27" s="1"/>
  <c r="ER10" i="27"/>
  <c r="ED16" i="27"/>
  <c r="EH16" i="27" s="1"/>
  <c r="ER16" i="27"/>
  <c r="EE11" i="27"/>
  <c r="ED11" i="27"/>
  <c r="ER11" i="27"/>
  <c r="EW11" i="27" s="1"/>
  <c r="EB7" i="27"/>
  <c r="EE7" i="27"/>
  <c r="EI7" i="27" s="1"/>
  <c r="EB13" i="27"/>
  <c r="EE13" i="27"/>
  <c r="EI13" i="27" s="1"/>
  <c r="EB19" i="27"/>
  <c r="EE19" i="27"/>
  <c r="EI19" i="27" s="1"/>
  <c r="EB10" i="27"/>
  <c r="EE10" i="27"/>
  <c r="EI10" i="27" s="1"/>
  <c r="EB16" i="27"/>
  <c r="EE16" i="27"/>
  <c r="EI16" i="27" s="1"/>
  <c r="EU16" i="27" l="1"/>
  <c r="EW16" i="27"/>
  <c r="EZ16" i="27" s="1"/>
  <c r="EU19" i="27"/>
  <c r="EW19" i="27"/>
  <c r="EZ19" i="27" s="1"/>
  <c r="EU13" i="27"/>
  <c r="EW13" i="27"/>
  <c r="EZ13" i="27" s="1"/>
  <c r="EU7" i="27"/>
  <c r="EW7" i="27"/>
  <c r="EZ7" i="27" s="1"/>
  <c r="EU10" i="27"/>
  <c r="EW10" i="27"/>
  <c r="EZ10" i="27" s="1"/>
  <c r="EH36" i="27"/>
  <c r="EH35" i="27"/>
  <c r="EH34" i="27"/>
  <c r="EB36" i="27"/>
  <c r="EB35" i="27"/>
  <c r="EB34" i="27"/>
  <c r="EI36" i="27"/>
  <c r="EI35" i="27"/>
  <c r="EI34" i="27"/>
  <c r="EU35" i="27" l="1"/>
  <c r="EU36" i="27"/>
  <c r="EU34" i="27"/>
  <c r="EZ35" i="27"/>
  <c r="EZ34" i="27"/>
  <c r="EZ36" i="27"/>
</calcChain>
</file>

<file path=xl/sharedStrings.xml><?xml version="1.0" encoding="utf-8"?>
<sst xmlns="http://schemas.openxmlformats.org/spreadsheetml/2006/main" count="1919" uniqueCount="344">
  <si>
    <t>TOTAL INCOME</t>
  </si>
  <si>
    <t xml:space="preserve">WAGES AND SALARIES </t>
  </si>
  <si>
    <t>Tax Year</t>
  </si>
  <si>
    <t>IRS</t>
  </si>
  <si>
    <t>SCF</t>
  </si>
  <si>
    <t>Percent Error</t>
  </si>
  <si>
    <t>IRS per return</t>
  </si>
  <si>
    <t>SCF per return</t>
  </si>
  <si>
    <t>In 10^9 dollars for money amounts</t>
  </si>
  <si>
    <t>Per retuns are in thousands</t>
  </si>
  <si>
    <t>Percent errors are the same because we used the same denominator (IRS number of returns)</t>
  </si>
  <si>
    <t>BUSINESS INCOME</t>
  </si>
  <si>
    <t>SOLE PROP.</t>
  </si>
  <si>
    <t>PARTNERSHIP</t>
  </si>
  <si>
    <t>SCORP</t>
  </si>
  <si>
    <t>CCORP</t>
  </si>
  <si>
    <t>ALL</t>
  </si>
  <si>
    <t>PASS-THROUGH</t>
  </si>
  <si>
    <t xml:space="preserve">IRS </t>
  </si>
  <si>
    <t>DECOMPOSITION OF PERCENTAGE ERROR FOR BUSINESS INCOME INTO OVERSTATEMENT OF INCOME OR UNDERSTATEMENT OF LOSSES</t>
  </si>
  <si>
    <t>SCF - IRS Gap (ALL)</t>
  </si>
  <si>
    <t>SCF - IRS Gap (Net Income)</t>
  </si>
  <si>
    <t>SCF - IRS Gap (Net Loss)</t>
  </si>
  <si>
    <t>SCF - IRS Gap Net Income %</t>
  </si>
  <si>
    <t>SCF - IRS Gap Net Loss %</t>
  </si>
  <si>
    <t xml:space="preserve">If SCF - IRS Gap (Net Loss) &gt; 0, then SCF understates the losses  </t>
  </si>
  <si>
    <t>BUSINESS RECEIPTS PER RETURN</t>
  </si>
  <si>
    <t>IRS Receipt</t>
  </si>
  <si>
    <t>IRS Returns</t>
  </si>
  <si>
    <t>IRS Receipt per Return</t>
  </si>
  <si>
    <t>SCF Receipt</t>
  </si>
  <si>
    <t>SCF Returns</t>
  </si>
  <si>
    <t>SCF Receipt per Return</t>
  </si>
  <si>
    <t>Values in 10^3</t>
  </si>
  <si>
    <t>IRS Income</t>
  </si>
  <si>
    <t>IRS Income per Return</t>
  </si>
  <si>
    <t>SCF Income</t>
  </si>
  <si>
    <t>SCF Income per Return</t>
  </si>
  <si>
    <t>Mean</t>
  </si>
  <si>
    <t>Min</t>
  </si>
  <si>
    <t>Max</t>
  </si>
  <si>
    <t>std</t>
  </si>
  <si>
    <t>BUSINESS INCOME PER RETURN FOR NET INCOME</t>
  </si>
  <si>
    <t>BUSINESS INCOME PER RETURN FOR NET LOSS</t>
  </si>
  <si>
    <t>IRS Loss</t>
  </si>
  <si>
    <t>IRS Loss per Return</t>
  </si>
  <si>
    <t>SCF Loss</t>
  </si>
  <si>
    <t>SCF Loss per Return</t>
  </si>
  <si>
    <t>Percentile bin</t>
  </si>
  <si>
    <t>p25</t>
  </si>
  <si>
    <t>&lt;=p50</t>
  </si>
  <si>
    <t>p25-50</t>
  </si>
  <si>
    <t>&gt;p50</t>
  </si>
  <si>
    <t>p50-75</t>
  </si>
  <si>
    <t>p75-90</t>
  </si>
  <si>
    <t>p90-99</t>
  </si>
  <si>
    <t>p99</t>
  </si>
  <si>
    <t>year</t>
  </si>
  <si>
    <t>IRSbelowMedian</t>
  </si>
  <si>
    <t>IRSAboveMedian</t>
  </si>
  <si>
    <t>SCFBelowMedian</t>
  </si>
  <si>
    <t>SCFAboveMedian</t>
  </si>
  <si>
    <t>BUSINESS INCOME PER RETURN UNDER 1040 12+18 AND SCH C 31</t>
  </si>
  <si>
    <t>SCF per return (SHC C 31)</t>
  </si>
  <si>
    <t>SCF X5 per return (1040 12+18)</t>
  </si>
  <si>
    <t>DIFFERENCE</t>
  </si>
  <si>
    <t xml:space="preserve">Number of returns in both cases (which is used as denominators) are obtained from answers to ownership questions. </t>
  </si>
  <si>
    <t>So denominators are the same here</t>
  </si>
  <si>
    <t>SOLE PROP NUMBER OF RETURNS UNDER DIFFERENT ASSUMPTIONS</t>
  </si>
  <si>
    <t>SCF1</t>
  </si>
  <si>
    <t>SCF2</t>
  </si>
  <si>
    <t>SCF3</t>
  </si>
  <si>
    <t>SCF3-SCF1</t>
  </si>
  <si>
    <t>Income (SCF3-SCF1)</t>
  </si>
  <si>
    <t>0.679904</t>
  </si>
  <si>
    <t xml:space="preserve"> 0.634605</t>
  </si>
  <si>
    <t>0.543479</t>
  </si>
  <si>
    <t>0.646936</t>
  </si>
  <si>
    <t>0.650475</t>
  </si>
  <si>
    <t>0.59000</t>
  </si>
  <si>
    <t>0.527616</t>
  </si>
  <si>
    <t>0.4761</t>
  </si>
  <si>
    <t>0.529623</t>
  </si>
  <si>
    <t>0.6465</t>
  </si>
  <si>
    <t>SCF1 - assume that business ownership information by legal status answers are correct -- BASELINE</t>
  </si>
  <si>
    <t>SCF2 - assume that legal status answers may miss some people with non-zero X5704 (this means 1040 line 12+18 non-zero). So on top of SCF1, add these people</t>
  </si>
  <si>
    <t>SCF3 - only count people with non-zero X5704 (this means 1040 line 12+18 non-zero). Notice that SCF3 is smaller than SCF2 because there may be X5704=0 but business ownership (ie SCF1) has an answer for owning a business, which would be excluded in SCF3</t>
  </si>
  <si>
    <t xml:space="preserve">We cannot do SCF4 or SCF5 because X3132 etc… are business income are for any type of business in terms of legal status, it is not necessarily only for sole prop return.  </t>
  </si>
  <si>
    <t>SCF3-SCF1 is number of returns for non zero X5704 but who say they do not own a business</t>
  </si>
  <si>
    <t xml:space="preserve">Income (SCF3-SCF1) is the ratio of X5704 income hold by people in (SCF3-SCF1) to all X5704 </t>
  </si>
  <si>
    <t>LORENZ CURVE FOR SOLE PROP (SCH C), RANKED BY BUSINESS INCOME</t>
  </si>
  <si>
    <t>Lorenz Curve for the IRS is calculated in the following way:
1. For each AGI bin in IRS Indiv. Returns Table 1.4, compute business income per Schedule C return.
2. Re-rank bins based on business income per Schedule C return.
3. Compute business income attributed to various percentiles to construct Lorenz curve
Lorenz Curve for the SCF is calculated in the following way:
1. Construct IRS Table 1.4 using SCF data. This is to make the exercise identical across both IRS and SCF
2. Repeat the same process done in the IRS to construct Pseudo Lorenz curve.</t>
  </si>
  <si>
    <t>Pop Frac</t>
  </si>
  <si>
    <t>IRS Average</t>
  </si>
  <si>
    <t>SCF Average</t>
  </si>
  <si>
    <t>IRS Min</t>
  </si>
  <si>
    <t>SCF Min</t>
  </si>
  <si>
    <t>IRS Max</t>
  </si>
  <si>
    <t>SCF Max</t>
  </si>
  <si>
    <t>IRS Median</t>
  </si>
  <si>
    <t>SCF Median</t>
  </si>
  <si>
    <t>LORENZ CURVE FOR SCORP, RANKED BY BUSINESS INCOME</t>
  </si>
  <si>
    <t>Lorenz Curve for the IRS is calculated in the following way:
1. For each business receipt bin in IRS Business Returns Table 4 (Scorp), compute business income per 1120S return.
2. Re-rank bins based on business income per 1120S return.
3. Compute business income attributed to various percentiles to construct Lorenz curve
Lorenz Curve for the SCF is calculated in the following way:
1. Construct IRS Table 4 using SCF data. This is to make the exercise identical across both IRS and SCF
2. Repeat the same process done in the IRS to construct Pseudo Lorenz curve.</t>
  </si>
  <si>
    <t>*Note: Only for four survey years</t>
  </si>
  <si>
    <t>LORENZ CURVE FOR SOLE PROP (SCH C) - NET LOSS, RANKED BY BUSINESS INCOME</t>
  </si>
  <si>
    <r>
      <rPr>
        <sz val="11"/>
        <color rgb="FF000000"/>
        <rFont val="Calibri"/>
        <family val="2"/>
        <charset val="1"/>
      </rPr>
      <t xml:space="preserve">Lorenz Curve for the IRS is calculated in the following way:
1. For each AGI bin in IRS Indiv. Returns Table 1.4, compute business income per Schedule C return for business with net loss.
2. Re-rank bins based on business net loss per Schedule C return. </t>
    </r>
    <r>
      <rPr>
        <b/>
        <sz val="11"/>
        <color rgb="FF000000"/>
        <rFont val="Calibri"/>
        <family val="2"/>
        <charset val="1"/>
      </rPr>
      <t>Important</t>
    </r>
    <r>
      <rPr>
        <sz val="11"/>
        <color rgb="FF000000"/>
        <rFont val="Calibri"/>
        <family val="2"/>
        <charset val="1"/>
      </rPr>
      <t>: Ranking is based on lowest loss per return to highest loss per return.
3. Compute business losses attributed to various percentiles to construct Lorenz curve
Lorenz Curve for the SCF is calculated in the following way:
1. Construct IRS Table 1.4 using SCF data. This is to make the exercise identical across both IRS and SCF
2. Repeat the same process done in the IRS to construct Pseudo Lorenz curve.</t>
    </r>
  </si>
  <si>
    <t>GINI COEFFICIENT FOR SOLE PROP (SCH C) USING PSEUDO LORENZ CURVE</t>
  </si>
  <si>
    <t>IRS All</t>
  </si>
  <si>
    <t>SCF All</t>
  </si>
  <si>
    <t>IRS Positive</t>
  </si>
  <si>
    <t>SCF Positive</t>
  </si>
  <si>
    <t>IRS Negative</t>
  </si>
  <si>
    <t>SCF Negative</t>
  </si>
  <si>
    <t>GINI COEFFICIENT FOR SCORPS USING PSEUDO LORENZ CURVE</t>
  </si>
  <si>
    <t>GINI IRS</t>
  </si>
  <si>
    <t>GINI SCF</t>
  </si>
  <si>
    <t>NUMBER OF RETURNS FOR NET INCOME</t>
  </si>
  <si>
    <t>NUMBER OF RETURNS FOR NET LOSS</t>
  </si>
  <si>
    <t>Note: previously we compared the share of number of returns for each year</t>
  </si>
  <si>
    <t>In Table 1-4 of Sole Prop. Income grouped by AGI bins, we know number of tax returns as well as number of business returns and total business income for each bin.</t>
  </si>
  <si>
    <t xml:space="preserve">This allows us to compute both the number of business returns and total business income for each AGI bin </t>
  </si>
  <si>
    <t xml:space="preserve">However, for Scorp tables by business receipts in IRS, we only have information on business receipts bins and the number of business returns. </t>
  </si>
  <si>
    <t xml:space="preserve">Then, if we want to find the number of business returns in the bottom 25  of businesses (ranked by business receipts), we will obviously get 25 percent. </t>
  </si>
  <si>
    <t>This is because, there is no 3rd dimension of numbers</t>
  </si>
  <si>
    <t>SOLE PROP</t>
  </si>
  <si>
    <t>VW</t>
  </si>
  <si>
    <t>EW</t>
  </si>
  <si>
    <t>p10</t>
  </si>
  <si>
    <t>p50</t>
  </si>
  <si>
    <t>p75</t>
  </si>
  <si>
    <t>p90</t>
  </si>
  <si>
    <t>CAPITAL GAINS</t>
  </si>
  <si>
    <t>Survey Year</t>
  </si>
  <si>
    <t>Sole Prop</t>
  </si>
  <si>
    <t>Partnership</t>
  </si>
  <si>
    <t xml:space="preserve">Scorp </t>
  </si>
  <si>
    <t>Ccorp</t>
  </si>
  <si>
    <t>All Passthrough</t>
  </si>
  <si>
    <t>All Businesses</t>
  </si>
  <si>
    <t>n/a</t>
  </si>
  <si>
    <t>Note: Returns are calculated as (MVt/MVt-3)^(1/3)-1; time is indicated in survey years because market value is current</t>
  </si>
  <si>
    <t>fyear</t>
  </si>
  <si>
    <t>num</t>
  </si>
  <si>
    <t>EW_mean</t>
  </si>
  <si>
    <t>VW_mean</t>
  </si>
  <si>
    <t>TargetStructureAlt</t>
  </si>
  <si>
    <t>count</t>
  </si>
  <si>
    <t>eq-wgt mean</t>
  </si>
  <si>
    <t>value-wgt mean</t>
  </si>
  <si>
    <t>std dev</t>
  </si>
  <si>
    <t>C Corporation</t>
  </si>
  <si>
    <t>S Corporation</t>
  </si>
  <si>
    <t>Sole Proprietorship</t>
  </si>
  <si>
    <t>SOLE PROP AND PARTNERSHIP</t>
  </si>
  <si>
    <t>S CORP</t>
  </si>
  <si>
    <t>Business Income (Values are in 10^9)</t>
  </si>
  <si>
    <t>Number of Returns (Values are in 10^3)</t>
  </si>
  <si>
    <t>Income per Return (Values are in 10^3)</t>
  </si>
  <si>
    <t>Year</t>
  </si>
  <si>
    <t>IRS Adjustment Amount by NIPA</t>
  </si>
  <si>
    <t>IRS Adjusted</t>
  </si>
  <si>
    <t>IRS Ajustment Amount from Slemrod</t>
  </si>
  <si>
    <t xml:space="preserve">IRS Adjustment Amount from Slemrod comes from Johns and Slemrod (2008) Table 1: Percentage of corresponding amount column for Partnership, Scorp, Estate and Trust Income. This is 18 percent assumed for all years </t>
  </si>
  <si>
    <t>IRS Adjustment Amount by NIPA comes from NIPA Table 7.14 line 2 (adjustments for misreporting on income tax returns from nonfarm sole prop and partnerships)</t>
  </si>
  <si>
    <t>IRSBelowMedian</t>
  </si>
  <si>
    <t>PASS THROUGH</t>
  </si>
  <si>
    <t>PSID</t>
  </si>
  <si>
    <t>SIPP</t>
  </si>
  <si>
    <t>Values are in billions</t>
  </si>
  <si>
    <t>To make it comparable across datasets, we do the same across other datasets</t>
  </si>
  <si>
    <t>PSID does not have ownership share information, which prevents calculation of number of returns</t>
  </si>
  <si>
    <t>So, we calculate number of owners, and then income per owner across all datasets</t>
  </si>
  <si>
    <t>IRS - Sch. C + F</t>
  </si>
  <si>
    <t>SCF - Sch. C + F (X5704)</t>
  </si>
  <si>
    <t>IRS - Sch. E</t>
  </si>
  <si>
    <t>SCF - Sch. E (X5714)</t>
  </si>
  <si>
    <t>IRS - Capital (1040 Line 13+14)</t>
  </si>
  <si>
    <t>SCF - Capital (1040 Line 13+14) (X5712)</t>
  </si>
  <si>
    <t>Broad Business Income IRS</t>
  </si>
  <si>
    <t>Broad Business Income SCF</t>
  </si>
  <si>
    <t>In 10^9 dollars</t>
  </si>
  <si>
    <t>Broad business income is defined as Sch C (Business and Farm) + Sch E (Rent, roy, part, scorp, est, tr) + 1040 Line 13&amp;14 (Interest, capital, dividend)</t>
  </si>
  <si>
    <t>PSID only provides unincorporated business income (also, cannot identify sole prop and partnerships)</t>
  </si>
  <si>
    <t>This is unincorporated business income per owner</t>
  </si>
  <si>
    <t>This is unincorporated business income in all datasets</t>
  </si>
  <si>
    <t>VW Average</t>
  </si>
  <si>
    <t>Sole proprietorship</t>
  </si>
  <si>
    <t>Unincorporated</t>
  </si>
  <si>
    <t>Cooper adjusted</t>
  </si>
  <si>
    <t>Above Median</t>
  </si>
  <si>
    <t>Below Median</t>
  </si>
  <si>
    <t>PE below median</t>
  </si>
  <si>
    <t>PE above median</t>
  </si>
  <si>
    <t>mean</t>
  </si>
  <si>
    <t>min</t>
  </si>
  <si>
    <t>max</t>
  </si>
  <si>
    <t>SCF C+E+F</t>
  </si>
  <si>
    <t>Percent Error (C+E+F)</t>
  </si>
  <si>
    <t>IRS C+E+F</t>
  </si>
  <si>
    <t>Percent Error (C+F)</t>
  </si>
  <si>
    <t>Percent Error E</t>
  </si>
  <si>
    <t>THIS IS ONLY RANKING BY AGI BINS (no resorting by business income per return)</t>
  </si>
  <si>
    <t>SOLE PROPRIETORSHIP - ALL</t>
  </si>
  <si>
    <t>SOLE PROPRIETORSHIP - POSITIVE</t>
  </si>
  <si>
    <t>SOLE PROPRIETORSHIP - NEGATIVE</t>
  </si>
  <si>
    <t>BUSINESS RETURNS</t>
  </si>
  <si>
    <t>BUSINESS INCOME BELOW - ABOVE MEDIAN</t>
  </si>
  <si>
    <t>Below median</t>
  </si>
  <si>
    <t>Above median</t>
  </si>
  <si>
    <t>BUSINESS RETURNS BELOW - ABOVE MEDIAN</t>
  </si>
  <si>
    <t>THIS IS RANKING BY AGI BINS and ALSO RESORTING BY business income per return</t>
  </si>
  <si>
    <t>BUSINESS INCOME PER RETURN BELOW - ABOVE MEDIAN</t>
  </si>
  <si>
    <t>Share of below median</t>
  </si>
  <si>
    <t>*Income yields of unincorporated business</t>
  </si>
  <si>
    <t>VW - St dev</t>
  </si>
  <si>
    <t>EW - St dev</t>
  </si>
  <si>
    <t>BUSINESS RECEIPTS</t>
  </si>
  <si>
    <t>Values are in 10^12</t>
  </si>
  <si>
    <t>CPS</t>
  </si>
  <si>
    <t>PE SCF</t>
  </si>
  <si>
    <t>PE PSID</t>
  </si>
  <si>
    <t>PE SIPP</t>
  </si>
  <si>
    <t>PE CPS</t>
  </si>
  <si>
    <t>IRS1 - C+F</t>
  </si>
  <si>
    <t>SCF2 - C+F</t>
  </si>
  <si>
    <t>IRS1 - E</t>
  </si>
  <si>
    <t>SCF - E</t>
  </si>
  <si>
    <t>IRS C+F+E</t>
  </si>
  <si>
    <t>SCF C+F+E</t>
  </si>
  <si>
    <t>Total C+E+F ub</t>
  </si>
  <si>
    <t>Total C+E+F lb</t>
  </si>
  <si>
    <t>IRS - Number of 1040 Returns</t>
  </si>
  <si>
    <t>SCF - Number of 1040 Returns</t>
  </si>
  <si>
    <t>SCF - Number of 1040 Returns lb</t>
  </si>
  <si>
    <t>SCF - Number of 1040 Returns ub</t>
  </si>
  <si>
    <t>IRS C+F+E per 1040</t>
  </si>
  <si>
    <t>SCF C+F+E per 1040</t>
  </si>
  <si>
    <t>C+E+F pero 1040 lb</t>
  </si>
  <si>
    <t>C+E+F pero 1040 ub</t>
  </si>
  <si>
    <t>Totals in 10^9 dollars</t>
  </si>
  <si>
    <t>Number of 1040 returns in 10^6</t>
  </si>
  <si>
    <t>Per return in 10^3</t>
  </si>
  <si>
    <t>IRS - Number of Schedule E Returns</t>
  </si>
  <si>
    <t>IRS - Amount of Schedule E Income</t>
  </si>
  <si>
    <t>IRS - Schedule E Income per Return</t>
  </si>
  <si>
    <t>SCF - Number of Schedule E Returns</t>
  </si>
  <si>
    <t>SCF - Number of Schedule E Returns lb</t>
  </si>
  <si>
    <t>SCF - Number of Schedule E Returns ub</t>
  </si>
  <si>
    <t>SCF - Amount of Schedule E Income</t>
  </si>
  <si>
    <t>SCF - Amount of Schedule E Income lb</t>
  </si>
  <si>
    <t>SCF - Amount of Schedule E Income ub</t>
  </si>
  <si>
    <t>SCF - Schedule E Income per Return</t>
  </si>
  <si>
    <t>SCF - Schedule E Income per Return lb</t>
  </si>
  <si>
    <t>SCF - Schedule E Income per Return ub</t>
  </si>
  <si>
    <t>* In 10^9 dollars</t>
  </si>
  <si>
    <t>* Number of returns in 10^6</t>
  </si>
  <si>
    <t>* Income per return in 10^3</t>
  </si>
  <si>
    <t>Perent Error</t>
  </si>
  <si>
    <t>MEAN</t>
  </si>
  <si>
    <t>SCF Broad Business Income</t>
  </si>
  <si>
    <t>IRS Broad Business Income</t>
  </si>
  <si>
    <t>MIN</t>
  </si>
  <si>
    <t>MAX</t>
  </si>
  <si>
    <t xml:space="preserve">Income </t>
  </si>
  <si>
    <t>Count</t>
  </si>
  <si>
    <t>Intersection of 1040 12+18 and actively managed business</t>
  </si>
  <si>
    <t>Only nonzero 1040 12+18</t>
  </si>
  <si>
    <t>Actively managed but do not report 1040 12+18</t>
  </si>
  <si>
    <t>Income in billion</t>
  </si>
  <si>
    <t>Count in million</t>
  </si>
  <si>
    <t>Not actively managed AND non-zero 1040 12+18 AND no-farm</t>
  </si>
  <si>
    <t>This data is only about Sole proprietorships</t>
  </si>
  <si>
    <t>p75-100</t>
  </si>
  <si>
    <t>p50-p75</t>
  </si>
  <si>
    <t>p25-p50</t>
  </si>
  <si>
    <t>0-p25</t>
  </si>
  <si>
    <t>Fraction of business owners who did not check attributable to each bin</t>
  </si>
  <si>
    <t>Fraction of business owners in the bin who did not check income tax forms</t>
  </si>
  <si>
    <t>Number of business owner households in the bin who did not check income tax form</t>
  </si>
  <si>
    <t>Number of business owner households in the bin</t>
  </si>
  <si>
    <t>Ranked by business income (X3)</t>
  </si>
  <si>
    <t>*SCF 2016</t>
  </si>
  <si>
    <t>*Conditional on acitvely managing a business and filing tax forms</t>
  </si>
  <si>
    <t>*IN millions</t>
  </si>
  <si>
    <t>Ranked by AGI</t>
  </si>
  <si>
    <t>Business owners with at least one business with a profit</t>
  </si>
  <si>
    <t>Business owners with at least one business with a loss (including 0)</t>
  </si>
  <si>
    <t>Business owners with positive total business income</t>
  </si>
  <si>
    <t>Business owners with negative (including 0) total business income</t>
  </si>
  <si>
    <t>Group</t>
  </si>
  <si>
    <t>surving</t>
  </si>
  <si>
    <t>surving3</t>
  </si>
  <si>
    <t>index</t>
  </si>
  <si>
    <t>index3</t>
  </si>
  <si>
    <t>average</t>
  </si>
  <si>
    <t>Non actively managed sole proprietorships</t>
  </si>
  <si>
    <t>Income</t>
  </si>
  <si>
    <t>Income (for non actively managed business, income is recorded in X3s)</t>
  </si>
  <si>
    <t>Non actively managed sole proprietorships, zero X5704</t>
  </si>
  <si>
    <t>Intersection of 1040 12+18 and actively managed business (X3 equivalent)</t>
  </si>
  <si>
    <t>PEUs with both active and passive sole props</t>
  </si>
  <si>
    <t xml:space="preserve">Ratio of Misreported Income to Reported Income </t>
  </si>
  <si>
    <t>SCF_lb</t>
  </si>
  <si>
    <t>SCF_ub</t>
  </si>
  <si>
    <t>PE IRS vs SCF</t>
  </si>
  <si>
    <t>PE IRS Adusted vs SCF</t>
  </si>
  <si>
    <t>IRS Ajustment Amount from NIPA and Slemrod</t>
  </si>
  <si>
    <t>IRS Adjusted by Cooper</t>
  </si>
  <si>
    <t>IRS Adjusted by NIPA and Cooper</t>
  </si>
  <si>
    <t>PE IRS Adusted NIPA and Cooper vs SCF</t>
  </si>
  <si>
    <t>IRS Adjusted by NIPA</t>
  </si>
  <si>
    <t>PE IRS Adusted by NIPA vs SCF</t>
  </si>
  <si>
    <t>When we calculate income per return, we do not further adjusted by Cooper given that we assume income per returns are similar across individual and corporate partners</t>
  </si>
  <si>
    <t>IRS Adjusted by NIPA and Slemrod</t>
  </si>
  <si>
    <t>IRS Adjusted by NIPA and Slemrod (and also Cooper for Partnership)</t>
  </si>
  <si>
    <t>PE IRS Adusted by NIPA and Slemrod vs SCF</t>
  </si>
  <si>
    <t>PE IRS Adjusted by NIPA and Slemrod (and also Cooper for Partnership) vs SCF</t>
  </si>
  <si>
    <t>IRS (Adjusted by Cooper for Partnerships)</t>
  </si>
  <si>
    <t>PE IRS (Adjusted by Cooper for Partnerships) vs SCF</t>
  </si>
  <si>
    <t>IRS Sole Prop Adjusted</t>
  </si>
  <si>
    <t>IRS Partnership Adjusted</t>
  </si>
  <si>
    <t>IRS Partners</t>
  </si>
  <si>
    <t>IRS Sole Prop</t>
  </si>
  <si>
    <t>IRS Partners Adjusted</t>
  </si>
  <si>
    <t xml:space="preserve">IRS Owners </t>
  </si>
  <si>
    <t>IRS Income per owner</t>
  </si>
  <si>
    <t>PE IRS Adjusted vs SCF</t>
  </si>
  <si>
    <t>IRS: Income values are in 10^9, partners are in 10^6, sole props are in 10^3, owners are in 10^6. ALL income per owner values are in thousands</t>
  </si>
  <si>
    <t xml:space="preserve"> C CORP</t>
  </si>
  <si>
    <t>IRS Public</t>
  </si>
  <si>
    <t>IRS Private</t>
  </si>
  <si>
    <t>IRS C Corp NIPA Adjustment Amount</t>
  </si>
  <si>
    <t>IRS Corporate NIPA Adjustment Amount</t>
  </si>
  <si>
    <t>IRS Public NIPA Adjustment Amount</t>
  </si>
  <si>
    <t>IRS Private NIPA Adjustment Amount</t>
  </si>
  <si>
    <t>IRS C Corp Private Adjusted</t>
  </si>
  <si>
    <t>IRS Public Returns</t>
  </si>
  <si>
    <t>IRS Adjusted (Private Returns)</t>
  </si>
  <si>
    <t>Ratio of Public to All returns</t>
  </si>
  <si>
    <t>Ratio of Public to All income</t>
  </si>
  <si>
    <t>PE IRS All vs SCF</t>
  </si>
  <si>
    <t>PE IRS Private vs SCF</t>
  </si>
  <si>
    <t>PE IRS Private Adjusted vs SCF</t>
  </si>
  <si>
    <t>IRS Private Adjusted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</si>
</sst>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0.0000"/>
    <numFmt numFmtId="165" formatCode="0.000000"/>
    <numFmt numFmtId="166" formatCode="#,##0.000000"/>
    <numFmt numFmtId="167" formatCode="0.0%"/>
    <numFmt numFmtId="168" formatCode="0.000"/>
    <numFmt numFmtId="169" formatCode="_(* #,##0.0_);_(* \(#,##0.0\);_(* &quot;-&quot;??_);_(@_)"/>
    <numFmt numFmtId="170" formatCode="0.00000"/>
  </numFmts>
  <fonts count="25" x14ac:knownFonts="1">
    <font>
      <sz val="11"/>
      <color rgb="FF000000"/>
      <name val="Calibri"/>
      <family val="2"/>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4"/>
      <color rgb="FF000000"/>
      <name val="Calibri"/>
      <family val="2"/>
      <charset val="1"/>
    </font>
    <font>
      <b/>
      <sz val="11"/>
      <color rgb="FF000000"/>
      <name val="Calibri"/>
      <family val="2"/>
      <charset val="1"/>
    </font>
    <font>
      <b/>
      <sz val="12"/>
      <color rgb="FF000000"/>
      <name val="Calibri"/>
      <family val="2"/>
      <charset val="1"/>
    </font>
    <font>
      <sz val="10"/>
      <name val="Arial"/>
      <family val="2"/>
    </font>
    <font>
      <sz val="11"/>
      <color rgb="FF000000"/>
      <name val="Calibri"/>
      <family val="2"/>
    </font>
    <font>
      <sz val="11"/>
      <color rgb="FFFF0000"/>
      <name val="Calibri"/>
      <family val="2"/>
      <scheme val="minor"/>
    </font>
    <font>
      <b/>
      <sz val="11"/>
      <color theme="1"/>
      <name val="Calibri"/>
      <family val="2"/>
      <scheme val="minor"/>
    </font>
    <font>
      <sz val="10"/>
      <name val="Calibri"/>
      <family val="2"/>
      <scheme val="minor"/>
    </font>
    <font>
      <b/>
      <sz val="11"/>
      <color rgb="FF000000"/>
      <name val="Calibri"/>
      <family val="2"/>
    </font>
    <font>
      <sz val="11"/>
      <color rgb="FF000000"/>
      <name val="Calibri"/>
      <family val="2"/>
      <charset val="1"/>
    </font>
    <font>
      <b/>
      <i/>
      <sz val="11"/>
      <color rgb="FF000000"/>
      <name val="Calibri"/>
      <family val="2"/>
    </font>
    <font>
      <sz val="11"/>
      <color rgb="FF006100"/>
      <name val="Calibri"/>
      <family val="2"/>
      <scheme val="minor"/>
    </font>
    <font>
      <sz val="11"/>
      <color rgb="FF9C6500"/>
      <name val="Calibri"/>
      <family val="2"/>
      <scheme val="minor"/>
    </font>
    <font>
      <b/>
      <sz val="18"/>
      <color rgb="FF000000"/>
      <name val="Calibri"/>
      <family val="2"/>
      <charset val="1"/>
    </font>
    <font>
      <b/>
      <sz val="20"/>
      <color rgb="FF000000"/>
      <name val="Calibri"/>
      <family val="2"/>
      <charset val="1"/>
    </font>
    <font>
      <sz val="7"/>
      <name val="Helvetica"/>
    </font>
    <font>
      <sz val="10"/>
      <name val="Arial"/>
    </font>
  </fonts>
  <fills count="8">
    <fill>
      <patternFill patternType="none"/>
    </fill>
    <fill>
      <patternFill patternType="gray125"/>
    </fill>
    <fill>
      <patternFill patternType="solid">
        <fgColor rgb="FFFFFF00"/>
        <bgColor rgb="FFFFFF00"/>
      </patternFill>
    </fill>
    <fill>
      <patternFill patternType="solid">
        <fgColor rgb="FFFFFF00"/>
        <bgColor indexed="64"/>
      </patternFill>
    </fill>
    <fill>
      <patternFill patternType="solid">
        <fgColor theme="1"/>
        <bgColor indexed="64"/>
      </patternFill>
    </fill>
    <fill>
      <patternFill patternType="solid">
        <fgColor rgb="FFC6EFCE"/>
      </patternFill>
    </fill>
    <fill>
      <patternFill patternType="solid">
        <fgColor rgb="FFFFEB9C"/>
      </patternFill>
    </fill>
    <fill>
      <patternFill patternType="solid">
        <fgColor theme="8" tint="0.59999389629810485"/>
        <bgColor indexed="65"/>
      </patternFill>
    </fill>
  </fills>
  <borders count="2">
    <border>
      <left/>
      <right/>
      <top/>
      <bottom/>
      <diagonal/>
    </border>
    <border>
      <left style="thin">
        <color indexed="64"/>
      </left>
      <right/>
      <top/>
      <bottom/>
      <diagonal/>
    </border>
  </borders>
  <cellStyleXfs count="13">
    <xf numFmtId="0" fontId="0" fillId="0" borderId="0"/>
    <xf numFmtId="0" fontId="11" fillId="0" borderId="0"/>
    <xf numFmtId="0" fontId="7" fillId="0" borderId="0"/>
    <xf numFmtId="0" fontId="6" fillId="0" borderId="0"/>
    <xf numFmtId="9" fontId="17" fillId="0" borderId="0" applyFont="0" applyFill="0" applyBorder="0" applyAlignment="0" applyProtection="0"/>
    <xf numFmtId="43" fontId="17" fillId="0" borderId="0" applyFont="0" applyFill="0" applyBorder="0" applyAlignment="0" applyProtection="0"/>
    <xf numFmtId="0" fontId="19" fillId="5" borderId="0" applyNumberFormat="0" applyBorder="0" applyAlignment="0" applyProtection="0"/>
    <xf numFmtId="0" fontId="20" fillId="6" borderId="0" applyNumberFormat="0" applyBorder="0" applyAlignment="0" applyProtection="0"/>
    <xf numFmtId="0" fontId="3" fillId="7" borderId="0" applyNumberFormat="0" applyBorder="0" applyAlignment="0" applyProtection="0"/>
    <xf numFmtId="0" fontId="2" fillId="0" borderId="0"/>
    <xf numFmtId="0" fontId="23" fillId="0" borderId="1">
      <alignment horizontal="center"/>
    </xf>
    <xf numFmtId="0" fontId="24" fillId="0" borderId="0"/>
    <xf numFmtId="0" fontId="1" fillId="0" borderId="0"/>
  </cellStyleXfs>
  <cellXfs count="102">
    <xf numFmtId="0" fontId="0" fillId="0" borderId="0" xfId="0"/>
    <xf numFmtId="0" fontId="9" fillId="0" borderId="0" xfId="0" applyFont="1"/>
    <xf numFmtId="2" fontId="0" fillId="0" borderId="0" xfId="0" applyNumberFormat="1"/>
    <xf numFmtId="2" fontId="0" fillId="2" borderId="0" xfId="0" applyNumberFormat="1" applyFill="1"/>
    <xf numFmtId="0" fontId="0" fillId="0" borderId="0" xfId="0" applyFont="1" applyAlignment="1">
      <alignment wrapText="1"/>
    </xf>
    <xf numFmtId="0" fontId="0" fillId="0" borderId="0" xfId="0" applyFont="1" applyAlignment="1">
      <alignment vertical="top" wrapText="1"/>
    </xf>
    <xf numFmtId="0" fontId="9" fillId="0" borderId="0" xfId="0" applyFont="1" applyAlignment="1">
      <alignment vertical="top" wrapText="1"/>
    </xf>
    <xf numFmtId="0" fontId="0" fillId="0" borderId="0" xfId="0" applyFont="1" applyAlignment="1">
      <alignment horizontal="left"/>
    </xf>
    <xf numFmtId="0" fontId="0" fillId="0" borderId="0" xfId="0" applyFont="1" applyAlignment="1">
      <alignment horizontal="center" wrapText="1"/>
    </xf>
    <xf numFmtId="0" fontId="9" fillId="0" borderId="0" xfId="0" applyFont="1" applyAlignment="1">
      <alignment horizontal="center" wrapText="1"/>
    </xf>
    <xf numFmtId="2" fontId="0" fillId="0" borderId="0" xfId="0" applyNumberFormat="1" applyAlignment="1">
      <alignment horizontal="center" wrapText="1"/>
    </xf>
    <xf numFmtId="2" fontId="0" fillId="2" borderId="0" xfId="0" applyNumberFormat="1" applyFill="1" applyAlignment="1">
      <alignment horizontal="center" wrapText="1"/>
    </xf>
    <xf numFmtId="2" fontId="0" fillId="0" borderId="0" xfId="0" applyNumberFormat="1" applyAlignment="1">
      <alignment horizontal="center" wrapText="1"/>
    </xf>
    <xf numFmtId="2" fontId="9" fillId="0" borderId="0" xfId="0" applyNumberFormat="1" applyFont="1" applyAlignment="1">
      <alignment wrapText="1"/>
    </xf>
    <xf numFmtId="2" fontId="9" fillId="0" borderId="0" xfId="0" applyNumberFormat="1" applyFont="1" applyAlignment="1">
      <alignment horizontal="center" wrapText="1"/>
    </xf>
    <xf numFmtId="2" fontId="0" fillId="0" borderId="0" xfId="0" applyNumberFormat="1" applyFont="1" applyAlignment="1">
      <alignment horizontal="center" vertical="top" wrapText="1"/>
    </xf>
    <xf numFmtId="1" fontId="0" fillId="0" borderId="0" xfId="0" applyNumberFormat="1" applyAlignment="1">
      <alignment horizontal="left" wrapText="1"/>
    </xf>
    <xf numFmtId="0" fontId="0" fillId="0" borderId="0" xfId="0" applyAlignment="1">
      <alignment horizontal="left" vertical="top" wrapText="1"/>
    </xf>
    <xf numFmtId="0" fontId="0" fillId="0" borderId="0" xfId="0" applyFont="1" applyAlignment="1">
      <alignment horizontal="center" vertical="top" wrapText="1"/>
    </xf>
    <xf numFmtId="0" fontId="9" fillId="0" borderId="0" xfId="0" applyFont="1" applyAlignment="1">
      <alignment horizontal="center" vertical="top" wrapText="1"/>
    </xf>
    <xf numFmtId="2" fontId="0" fillId="2" borderId="0" xfId="0" applyNumberFormat="1" applyFont="1" applyFill="1" applyAlignment="1">
      <alignment horizontal="center" vertical="top" wrapText="1"/>
    </xf>
    <xf numFmtId="164" fontId="0" fillId="0" borderId="0" xfId="0" applyNumberFormat="1" applyAlignment="1">
      <alignment horizontal="center" vertical="top" wrapText="1"/>
    </xf>
    <xf numFmtId="0" fontId="0" fillId="0" borderId="0" xfId="0" applyFont="1" applyAlignment="1">
      <alignment vertical="center"/>
    </xf>
    <xf numFmtId="0" fontId="8" fillId="0" borderId="0" xfId="0" applyFont="1" applyAlignment="1">
      <alignment vertical="center"/>
    </xf>
    <xf numFmtId="0" fontId="8" fillId="0" borderId="0" xfId="0" applyFont="1" applyAlignment="1">
      <alignment horizontal="center"/>
    </xf>
    <xf numFmtId="0" fontId="9" fillId="0" borderId="0" xfId="0" applyFont="1" applyAlignment="1">
      <alignment wrapText="1"/>
    </xf>
    <xf numFmtId="164" fontId="0" fillId="0" borderId="0" xfId="0" applyNumberFormat="1"/>
    <xf numFmtId="0" fontId="0" fillId="0" borderId="0" xfId="0" applyFont="1" applyAlignment="1">
      <alignment horizontal="left" wrapText="1"/>
    </xf>
    <xf numFmtId="10" fontId="0" fillId="0" borderId="0" xfId="0" applyNumberFormat="1"/>
    <xf numFmtId="2" fontId="0" fillId="0" borderId="0" xfId="0" applyNumberFormat="1" applyFont="1" applyAlignment="1">
      <alignment wrapText="1"/>
    </xf>
    <xf numFmtId="0" fontId="0" fillId="0" borderId="0" xfId="0" applyFill="1"/>
    <xf numFmtId="0" fontId="12" fillId="0" borderId="0" xfId="0" applyFont="1"/>
    <xf numFmtId="0" fontId="0" fillId="0" borderId="0" xfId="0" applyAlignment="1">
      <alignment horizontal="center"/>
    </xf>
    <xf numFmtId="165" fontId="0" fillId="0" borderId="0" xfId="0" applyNumberFormat="1"/>
    <xf numFmtId="0" fontId="0" fillId="0" borderId="0" xfId="0" applyAlignment="1">
      <alignment horizontal="center"/>
    </xf>
    <xf numFmtId="0" fontId="0" fillId="0" borderId="0" xfId="0" applyAlignment="1">
      <alignment horizontal="center"/>
    </xf>
    <xf numFmtId="0" fontId="0" fillId="0" borderId="0" xfId="0" applyAlignment="1"/>
    <xf numFmtId="0" fontId="9" fillId="0" borderId="0" xfId="0" applyFont="1" applyBorder="1" applyAlignment="1">
      <alignment horizontal="center"/>
    </xf>
    <xf numFmtId="4" fontId="0" fillId="0" borderId="0" xfId="0" applyNumberFormat="1" applyFill="1"/>
    <xf numFmtId="4" fontId="0" fillId="0" borderId="0" xfId="0" applyNumberFormat="1"/>
    <xf numFmtId="4" fontId="0" fillId="2" borderId="0" xfId="0" applyNumberFormat="1" applyFill="1"/>
    <xf numFmtId="4" fontId="0" fillId="2" borderId="0" xfId="0" applyNumberFormat="1" applyFill="1" applyAlignment="1">
      <alignment horizontal="center" wrapText="1"/>
    </xf>
    <xf numFmtId="0" fontId="13" fillId="0" borderId="0" xfId="0" applyFont="1"/>
    <xf numFmtId="0" fontId="14" fillId="0" borderId="0" xfId="0" applyFont="1"/>
    <xf numFmtId="166" fontId="15" fillId="0" borderId="0" xfId="1" applyNumberFormat="1" applyFont="1" applyAlignment="1">
      <alignment horizontal="right"/>
    </xf>
    <xf numFmtId="166" fontId="0" fillId="0" borderId="0" xfId="0" applyNumberFormat="1"/>
    <xf numFmtId="0" fontId="0" fillId="0" borderId="0" xfId="0" applyAlignment="1">
      <alignment wrapText="1"/>
    </xf>
    <xf numFmtId="0" fontId="0" fillId="0" borderId="0" xfId="0" applyAlignment="1">
      <alignment horizontal="right"/>
    </xf>
    <xf numFmtId="3" fontId="0" fillId="0" borderId="0" xfId="0" applyNumberFormat="1"/>
    <xf numFmtId="3" fontId="15" fillId="0" borderId="0" xfId="1" applyNumberFormat="1" applyFont="1" applyAlignment="1">
      <alignment horizontal="right"/>
    </xf>
    <xf numFmtId="3" fontId="15" fillId="0" borderId="0" xfId="1" applyNumberFormat="1" applyFont="1"/>
    <xf numFmtId="3" fontId="0" fillId="0" borderId="0" xfId="0" applyNumberFormat="1" applyAlignment="1">
      <alignment horizontal="right"/>
    </xf>
    <xf numFmtId="0" fontId="0" fillId="3" borderId="0" xfId="0" applyFill="1"/>
    <xf numFmtId="3" fontId="14" fillId="3" borderId="0" xfId="0" applyNumberFormat="1" applyFont="1" applyFill="1"/>
    <xf numFmtId="4" fontId="14" fillId="3" borderId="0" xfId="0" applyNumberFormat="1" applyFont="1" applyFill="1"/>
    <xf numFmtId="2" fontId="14" fillId="3" borderId="0" xfId="0" applyNumberFormat="1" applyFont="1" applyFill="1"/>
    <xf numFmtId="0" fontId="16" fillId="3" borderId="0" xfId="0" applyFont="1" applyFill="1"/>
    <xf numFmtId="0" fontId="0" fillId="0" borderId="0" xfId="0" applyAlignment="1">
      <alignment horizontal="center"/>
    </xf>
    <xf numFmtId="0" fontId="7" fillId="0" borderId="0" xfId="2"/>
    <xf numFmtId="2" fontId="7" fillId="0" borderId="0" xfId="2" applyNumberFormat="1"/>
    <xf numFmtId="0" fontId="6" fillId="0" borderId="0" xfId="3"/>
    <xf numFmtId="0" fontId="0" fillId="0" borderId="0" xfId="0" applyAlignment="1">
      <alignment horizontal="center"/>
    </xf>
    <xf numFmtId="0" fontId="16" fillId="0" borderId="0" xfId="0" applyFont="1" applyAlignment="1">
      <alignment horizontal="center"/>
    </xf>
    <xf numFmtId="0" fontId="5" fillId="0" borderId="0" xfId="3" applyFont="1"/>
    <xf numFmtId="9" fontId="6" fillId="0" borderId="0" xfId="4" applyFont="1"/>
    <xf numFmtId="167" fontId="6" fillId="0" borderId="0" xfId="4" applyNumberFormat="1" applyFont="1"/>
    <xf numFmtId="0" fontId="0" fillId="4" borderId="0" xfId="0" applyFill="1"/>
    <xf numFmtId="168" fontId="0" fillId="0" borderId="0" xfId="0" applyNumberFormat="1"/>
    <xf numFmtId="0" fontId="0" fillId="0" borderId="0" xfId="0" applyFont="1" applyBorder="1" applyAlignment="1">
      <alignment horizontal="center"/>
    </xf>
    <xf numFmtId="0" fontId="10" fillId="0" borderId="0" xfId="0" applyFont="1" applyBorder="1" applyAlignment="1">
      <alignment horizontal="center"/>
    </xf>
    <xf numFmtId="169" fontId="0" fillId="0" borderId="0" xfId="5" applyNumberFormat="1" applyFont="1"/>
    <xf numFmtId="0" fontId="4" fillId="0" borderId="0" xfId="2" applyFont="1"/>
    <xf numFmtId="0" fontId="18" fillId="0" borderId="0" xfId="0" applyFont="1"/>
    <xf numFmtId="0" fontId="8" fillId="0" borderId="0" xfId="0" applyFont="1" applyBorder="1" applyAlignment="1">
      <alignment horizontal="center"/>
    </xf>
    <xf numFmtId="0" fontId="0" fillId="0" borderId="0" xfId="0" applyFont="1" applyBorder="1" applyAlignment="1">
      <alignment horizontal="center"/>
    </xf>
    <xf numFmtId="0" fontId="19" fillId="5" borderId="0" xfId="6" applyBorder="1" applyAlignment="1">
      <alignment horizontal="center"/>
    </xf>
    <xf numFmtId="0" fontId="20" fillId="6" borderId="0" xfId="7" applyBorder="1" applyAlignment="1">
      <alignment horizontal="center"/>
    </xf>
    <xf numFmtId="2" fontId="0" fillId="0" borderId="0" xfId="0" applyNumberFormat="1" applyFill="1"/>
    <xf numFmtId="1" fontId="0" fillId="0" borderId="0" xfId="0" applyNumberFormat="1"/>
    <xf numFmtId="1" fontId="0" fillId="0" borderId="0" xfId="0" applyNumberFormat="1" applyFill="1"/>
    <xf numFmtId="0" fontId="20" fillId="6" borderId="0" xfId="7" applyBorder="1" applyAlignment="1">
      <alignment horizontal="center"/>
    </xf>
    <xf numFmtId="170" fontId="0" fillId="0" borderId="0" xfId="0" applyNumberFormat="1"/>
    <xf numFmtId="0" fontId="24" fillId="0" borderId="0" xfId="11"/>
    <xf numFmtId="0" fontId="8" fillId="0" borderId="0" xfId="0" applyFont="1" applyBorder="1" applyAlignment="1">
      <alignment horizontal="center"/>
    </xf>
    <xf numFmtId="0" fontId="21" fillId="0" borderId="0" xfId="0" applyFont="1" applyBorder="1" applyAlignment="1">
      <alignment horizontal="center"/>
    </xf>
    <xf numFmtId="0" fontId="19" fillId="5" borderId="0" xfId="6" applyBorder="1" applyAlignment="1">
      <alignment horizontal="center"/>
    </xf>
    <xf numFmtId="0" fontId="20" fillId="6" borderId="0" xfId="7" applyBorder="1" applyAlignment="1">
      <alignment horizontal="center"/>
    </xf>
    <xf numFmtId="0" fontId="3" fillId="7" borderId="0" xfId="8" applyBorder="1" applyAlignment="1">
      <alignment horizontal="center"/>
    </xf>
    <xf numFmtId="0" fontId="0" fillId="0" borderId="0" xfId="0" applyAlignment="1">
      <alignment horizontal="center" wrapText="1"/>
    </xf>
    <xf numFmtId="0" fontId="0" fillId="0" borderId="0" xfId="0" applyFont="1" applyBorder="1" applyAlignment="1">
      <alignment horizontal="center"/>
    </xf>
    <xf numFmtId="0" fontId="22" fillId="0" borderId="0" xfId="0" applyFont="1" applyBorder="1" applyAlignment="1">
      <alignment horizontal="center"/>
    </xf>
    <xf numFmtId="0" fontId="0" fillId="0" borderId="0" xfId="0" applyFont="1" applyBorder="1" applyAlignment="1">
      <alignment horizontal="center" wrapText="1"/>
    </xf>
    <xf numFmtId="0" fontId="9" fillId="0" borderId="0" xfId="0" applyFont="1" applyBorder="1" applyAlignment="1">
      <alignment horizontal="center"/>
    </xf>
    <xf numFmtId="0" fontId="8" fillId="0" borderId="0" xfId="0" applyFont="1" applyBorder="1" applyAlignment="1">
      <alignment horizontal="center" wrapText="1"/>
    </xf>
    <xf numFmtId="0" fontId="9" fillId="0" borderId="0" xfId="0" applyFont="1" applyBorder="1" applyAlignment="1">
      <alignment horizontal="center" wrapText="1"/>
    </xf>
    <xf numFmtId="2" fontId="8" fillId="0" borderId="0" xfId="0" applyNumberFormat="1" applyFont="1" applyBorder="1" applyAlignment="1">
      <alignment horizontal="center" wrapText="1"/>
    </xf>
    <xf numFmtId="2" fontId="9" fillId="0" borderId="0" xfId="0" applyNumberFormat="1" applyFont="1" applyBorder="1" applyAlignment="1">
      <alignment horizontal="center" wrapText="1"/>
    </xf>
    <xf numFmtId="0" fontId="8" fillId="0" borderId="0" xfId="0" applyFont="1" applyBorder="1" applyAlignment="1">
      <alignment horizontal="center" vertical="top" wrapText="1"/>
    </xf>
    <xf numFmtId="0" fontId="9" fillId="0" borderId="0" xfId="0" applyFont="1" applyBorder="1" applyAlignment="1">
      <alignment horizontal="center" vertical="top" wrapText="1"/>
    </xf>
    <xf numFmtId="0" fontId="0" fillId="0" borderId="0" xfId="0" applyAlignment="1">
      <alignment horizontal="center"/>
    </xf>
    <xf numFmtId="0" fontId="9" fillId="0" borderId="0" xfId="0" applyFont="1" applyBorder="1" applyAlignment="1">
      <alignment horizontal="center" vertical="center"/>
    </xf>
    <xf numFmtId="0" fontId="16" fillId="0" borderId="0" xfId="0" applyFont="1" applyAlignment="1">
      <alignment horizontal="center"/>
    </xf>
  </cellXfs>
  <cellStyles count="13">
    <cellStyle name="40% - Accent5" xfId="8" builtinId="47"/>
    <cellStyle name="Comma" xfId="5" builtinId="3"/>
    <cellStyle name="Good" xfId="6" builtinId="26"/>
    <cellStyle name="Neutral" xfId="7" builtinId="28"/>
    <cellStyle name="Normal" xfId="0" builtinId="0"/>
    <cellStyle name="Normal 2" xfId="1" xr:uid="{00000000-0005-0000-0000-000005000000}"/>
    <cellStyle name="Normal 3" xfId="2" xr:uid="{00000000-0005-0000-0000-000006000000}"/>
    <cellStyle name="Normal 4" xfId="3" xr:uid="{00000000-0005-0000-0000-000007000000}"/>
    <cellStyle name="Normal 5" xfId="9" xr:uid="{E6C95CFC-BECF-453F-9364-C7932817E506}"/>
    <cellStyle name="Normal 6" xfId="11" xr:uid="{B04389C7-79F1-454F-AA58-F8E2B59935D1}"/>
    <cellStyle name="Normal 7" xfId="12" xr:uid="{E5D13E83-0EC7-467A-AFC0-317A5C689210}"/>
    <cellStyle name="Percent" xfId="4" builtinId="5"/>
    <cellStyle name="style_col_headings" xfId="10" xr:uid="{101D0112-AE35-4E4C-ACE9-126526E5324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Below median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'Bus Inc per return by AGI'!$J$27</c:f>
              <c:strCache>
                <c:ptCount val="1"/>
                <c:pt idx="0">
                  <c:v>IRSbelowMedian</c:v>
                </c:pt>
              </c:strCache>
            </c:strRef>
          </c:tx>
          <c:spPr>
            <a:ln w="28575" cap="rnd">
              <a:solidFill>
                <a:schemeClr val="accent1"/>
              </a:solidFill>
              <a:round/>
            </a:ln>
            <a:effectLst/>
          </c:spPr>
          <c:marker>
            <c:symbol val="none"/>
          </c:marker>
          <c:val>
            <c:numRef>
              <c:f>'Bus Inc per return by AGI'!$J$28:$J$37</c:f>
              <c:numCache>
                <c:formatCode>0.00</c:formatCode>
                <c:ptCount val="10"/>
                <c:pt idx="0">
                  <c:v>2.56023925292524</c:v>
                </c:pt>
                <c:pt idx="1">
                  <c:v>2.9645964020722699</c:v>
                </c:pt>
                <c:pt idx="2">
                  <c:v>3.7298389583139899</c:v>
                </c:pt>
                <c:pt idx="3">
                  <c:v>4.3364448079408504</c:v>
                </c:pt>
                <c:pt idx="4">
                  <c:v>4.5786211090237501</c:v>
                </c:pt>
                <c:pt idx="5">
                  <c:v>4.9131252643914296</c:v>
                </c:pt>
                <c:pt idx="6">
                  <c:v>5.17340057214036</c:v>
                </c:pt>
                <c:pt idx="7">
                  <c:v>4.2151774521782599</c:v>
                </c:pt>
                <c:pt idx="8">
                  <c:v>6.0562094506758601</c:v>
                </c:pt>
                <c:pt idx="9">
                  <c:v>5.9584041751496599</c:v>
                </c:pt>
              </c:numCache>
            </c:numRef>
          </c:val>
          <c:smooth val="0"/>
          <c:extLst>
            <c:ext xmlns:c16="http://schemas.microsoft.com/office/drawing/2014/chart" uri="{C3380CC4-5D6E-409C-BE32-E72D297353CC}">
              <c16:uniqueId val="{00000000-916F-48E5-BEED-5A7AF4FE256F}"/>
            </c:ext>
          </c:extLst>
        </c:ser>
        <c:ser>
          <c:idx val="1"/>
          <c:order val="1"/>
          <c:tx>
            <c:strRef>
              <c:f>'Bus Inc per return by AGI'!$L$27</c:f>
              <c:strCache>
                <c:ptCount val="1"/>
                <c:pt idx="0">
                  <c:v>SCFBelowMedian</c:v>
                </c:pt>
              </c:strCache>
            </c:strRef>
          </c:tx>
          <c:spPr>
            <a:ln w="28575" cap="rnd">
              <a:solidFill>
                <a:schemeClr val="accent2"/>
              </a:solidFill>
              <a:round/>
            </a:ln>
            <a:effectLst/>
          </c:spPr>
          <c:marker>
            <c:symbol val="none"/>
          </c:marker>
          <c:val>
            <c:numRef>
              <c:f>'Bus Inc per return by AGI'!$L$28:$L$37</c:f>
              <c:numCache>
                <c:formatCode>0.00</c:formatCode>
                <c:ptCount val="10"/>
                <c:pt idx="0">
                  <c:v>-5.0413161737966998</c:v>
                </c:pt>
                <c:pt idx="1">
                  <c:v>-8.5175731202718499</c:v>
                </c:pt>
                <c:pt idx="2">
                  <c:v>3.7586530177095798</c:v>
                </c:pt>
                <c:pt idx="3">
                  <c:v>31.476568460949</c:v>
                </c:pt>
                <c:pt idx="4">
                  <c:v>16.232897556850599</c:v>
                </c:pt>
                <c:pt idx="5">
                  <c:v>10.7601566665095</c:v>
                </c:pt>
                <c:pt idx="6">
                  <c:v>24.9618677365923</c:v>
                </c:pt>
                <c:pt idx="7">
                  <c:v>13.7918801465553</c:v>
                </c:pt>
                <c:pt idx="8">
                  <c:v>18.000024331566401</c:v>
                </c:pt>
                <c:pt idx="9">
                  <c:v>28.487887632792699</c:v>
                </c:pt>
              </c:numCache>
            </c:numRef>
          </c:val>
          <c:smooth val="0"/>
          <c:extLst>
            <c:ext xmlns:c16="http://schemas.microsoft.com/office/drawing/2014/chart" uri="{C3380CC4-5D6E-409C-BE32-E72D297353CC}">
              <c16:uniqueId val="{00000001-916F-48E5-BEED-5A7AF4FE256F}"/>
            </c:ext>
          </c:extLst>
        </c:ser>
        <c:dLbls>
          <c:showLegendKey val="0"/>
          <c:showVal val="0"/>
          <c:showCatName val="0"/>
          <c:showSerName val="0"/>
          <c:showPercent val="0"/>
          <c:showBubbleSize val="0"/>
        </c:dLbls>
        <c:smooth val="0"/>
        <c:axId val="517324280"/>
        <c:axId val="517324608"/>
      </c:lineChart>
      <c:catAx>
        <c:axId val="51732428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7324608"/>
        <c:crosses val="autoZero"/>
        <c:auto val="1"/>
        <c:lblAlgn val="ctr"/>
        <c:lblOffset val="100"/>
        <c:noMultiLvlLbl val="0"/>
      </c:catAx>
      <c:valAx>
        <c:axId val="51732460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73242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Above median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'Bus Inc per return by AGI'!$K$27</c:f>
              <c:strCache>
                <c:ptCount val="1"/>
                <c:pt idx="0">
                  <c:v>IRSAboveMedian</c:v>
                </c:pt>
              </c:strCache>
            </c:strRef>
          </c:tx>
          <c:spPr>
            <a:ln w="28575" cap="rnd">
              <a:solidFill>
                <a:schemeClr val="accent1"/>
              </a:solidFill>
              <a:round/>
            </a:ln>
            <a:effectLst/>
          </c:spPr>
          <c:marker>
            <c:symbol val="none"/>
          </c:marker>
          <c:val>
            <c:numRef>
              <c:f>'Bus Inc per return by AGI'!$K$28:$K$37</c:f>
              <c:numCache>
                <c:formatCode>0.00</c:formatCode>
                <c:ptCount val="10"/>
                <c:pt idx="0">
                  <c:v>13.2485988252255</c:v>
                </c:pt>
                <c:pt idx="1">
                  <c:v>13.520531056591</c:v>
                </c:pt>
                <c:pt idx="2">
                  <c:v>14.6642785815195</c:v>
                </c:pt>
                <c:pt idx="3">
                  <c:v>15.485162984840599</c:v>
                </c:pt>
                <c:pt idx="4">
                  <c:v>17.323495498078099</c:v>
                </c:pt>
                <c:pt idx="5">
                  <c:v>17.317240592451601</c:v>
                </c:pt>
                <c:pt idx="6">
                  <c:v>19.4092394988396</c:v>
                </c:pt>
                <c:pt idx="7">
                  <c:v>17.6106243698414</c:v>
                </c:pt>
                <c:pt idx="8">
                  <c:v>20.177247392014699</c:v>
                </c:pt>
                <c:pt idx="9">
                  <c:v>20.754110186315799</c:v>
                </c:pt>
              </c:numCache>
            </c:numRef>
          </c:val>
          <c:smooth val="0"/>
          <c:extLst>
            <c:ext xmlns:c16="http://schemas.microsoft.com/office/drawing/2014/chart" uri="{C3380CC4-5D6E-409C-BE32-E72D297353CC}">
              <c16:uniqueId val="{00000000-3B19-4499-8822-5ADF14DD7537}"/>
            </c:ext>
          </c:extLst>
        </c:ser>
        <c:ser>
          <c:idx val="1"/>
          <c:order val="1"/>
          <c:tx>
            <c:strRef>
              <c:f>'Bus Inc per return by AGI'!$M$27</c:f>
              <c:strCache>
                <c:ptCount val="1"/>
                <c:pt idx="0">
                  <c:v>SCFAboveMedian</c:v>
                </c:pt>
              </c:strCache>
            </c:strRef>
          </c:tx>
          <c:spPr>
            <a:ln w="28575" cap="rnd">
              <a:solidFill>
                <a:schemeClr val="accent2"/>
              </a:solidFill>
              <a:round/>
            </a:ln>
            <a:effectLst/>
          </c:spPr>
          <c:marker>
            <c:symbol val="none"/>
          </c:marker>
          <c:val>
            <c:numRef>
              <c:f>'Bus Inc per return by AGI'!$M$28:$M$37</c:f>
              <c:numCache>
                <c:formatCode>0.00</c:formatCode>
                <c:ptCount val="10"/>
                <c:pt idx="0">
                  <c:v>65.180865865035997</c:v>
                </c:pt>
                <c:pt idx="1">
                  <c:v>75.607733218304304</c:v>
                </c:pt>
                <c:pt idx="2">
                  <c:v>72.079578849203202</c:v>
                </c:pt>
                <c:pt idx="3">
                  <c:v>93.426307856980699</c:v>
                </c:pt>
                <c:pt idx="4">
                  <c:v>111.468495667753</c:v>
                </c:pt>
                <c:pt idx="5">
                  <c:v>76.854251896624405</c:v>
                </c:pt>
                <c:pt idx="6">
                  <c:v>78.025623066368794</c:v>
                </c:pt>
                <c:pt idx="7">
                  <c:v>76.459292117957204</c:v>
                </c:pt>
                <c:pt idx="8">
                  <c:v>85.093362980818796</c:v>
                </c:pt>
                <c:pt idx="9">
                  <c:v>113.69076102586</c:v>
                </c:pt>
              </c:numCache>
            </c:numRef>
          </c:val>
          <c:smooth val="0"/>
          <c:extLst>
            <c:ext xmlns:c16="http://schemas.microsoft.com/office/drawing/2014/chart" uri="{C3380CC4-5D6E-409C-BE32-E72D297353CC}">
              <c16:uniqueId val="{00000001-3B19-4499-8822-5ADF14DD7537}"/>
            </c:ext>
          </c:extLst>
        </c:ser>
        <c:dLbls>
          <c:showLegendKey val="0"/>
          <c:showVal val="0"/>
          <c:showCatName val="0"/>
          <c:showSerName val="0"/>
          <c:showPercent val="0"/>
          <c:showBubbleSize val="0"/>
        </c:dLbls>
        <c:smooth val="0"/>
        <c:axId val="517325920"/>
        <c:axId val="517328544"/>
      </c:lineChart>
      <c:catAx>
        <c:axId val="51732592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7328544"/>
        <c:crosses val="autoZero"/>
        <c:auto val="1"/>
        <c:lblAlgn val="ctr"/>
        <c:lblOffset val="100"/>
        <c:noMultiLvlLbl val="0"/>
      </c:catAx>
      <c:valAx>
        <c:axId val="51732854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73259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val>
            <c:numRef>
              <c:f>'Bus Inc and Num Shares Dist'!$BS$4:$BS$22</c:f>
              <c:numCache>
                <c:formatCode>General</c:formatCode>
                <c:ptCount val="19"/>
              </c:numCache>
            </c:numRef>
          </c:val>
          <c:smooth val="0"/>
          <c:extLst>
            <c:ext xmlns:c16="http://schemas.microsoft.com/office/drawing/2014/chart" uri="{C3380CC4-5D6E-409C-BE32-E72D297353CC}">
              <c16:uniqueId val="{00000000-46AE-4DAD-9785-B7CD6D3C2DBA}"/>
            </c:ext>
          </c:extLst>
        </c:ser>
        <c:ser>
          <c:idx val="1"/>
          <c:order val="1"/>
          <c:spPr>
            <a:ln w="28575" cap="rnd">
              <a:solidFill>
                <a:schemeClr val="accent2"/>
              </a:solidFill>
              <a:round/>
            </a:ln>
            <a:effectLst/>
          </c:spPr>
          <c:marker>
            <c:symbol val="none"/>
          </c:marker>
          <c:val>
            <c:numRef>
              <c:f>'Bus Inc and Num Shares Dist'!$BT$4:$BT$22</c:f>
              <c:numCache>
                <c:formatCode>General</c:formatCode>
                <c:ptCount val="19"/>
              </c:numCache>
            </c:numRef>
          </c:val>
          <c:smooth val="0"/>
          <c:extLst>
            <c:ext xmlns:c16="http://schemas.microsoft.com/office/drawing/2014/chart" uri="{C3380CC4-5D6E-409C-BE32-E72D297353CC}">
              <c16:uniqueId val="{00000001-46AE-4DAD-9785-B7CD6D3C2DBA}"/>
            </c:ext>
          </c:extLst>
        </c:ser>
        <c:dLbls>
          <c:showLegendKey val="0"/>
          <c:showVal val="0"/>
          <c:showCatName val="0"/>
          <c:showSerName val="0"/>
          <c:showPercent val="0"/>
          <c:showBubbleSize val="0"/>
        </c:dLbls>
        <c:smooth val="0"/>
        <c:axId val="220241320"/>
        <c:axId val="220240336"/>
      </c:lineChart>
      <c:catAx>
        <c:axId val="22024132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0240336"/>
        <c:crosses val="autoZero"/>
        <c:auto val="1"/>
        <c:lblAlgn val="ctr"/>
        <c:lblOffset val="100"/>
        <c:noMultiLvlLbl val="0"/>
      </c:catAx>
      <c:valAx>
        <c:axId val="2202403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02413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val>
            <c:numRef>
              <c:f>'Bus Inc and Num Levels Dist'!$AP$4:$AP$22</c:f>
              <c:numCache>
                <c:formatCode>General</c:formatCode>
                <c:ptCount val="19"/>
              </c:numCache>
            </c:numRef>
          </c:val>
          <c:smooth val="0"/>
          <c:extLst>
            <c:ext xmlns:c16="http://schemas.microsoft.com/office/drawing/2014/chart" uri="{C3380CC4-5D6E-409C-BE32-E72D297353CC}">
              <c16:uniqueId val="{00000000-4E37-4BD7-B261-48DEA7177C6F}"/>
            </c:ext>
          </c:extLst>
        </c:ser>
        <c:ser>
          <c:idx val="1"/>
          <c:order val="1"/>
          <c:spPr>
            <a:ln w="28575" cap="rnd">
              <a:solidFill>
                <a:schemeClr val="accent2"/>
              </a:solidFill>
              <a:round/>
            </a:ln>
            <a:effectLst/>
          </c:spPr>
          <c:marker>
            <c:symbol val="none"/>
          </c:marker>
          <c:val>
            <c:numRef>
              <c:f>'Bus Inc and Num Levels Dist'!$AQ$4:$AQ$22</c:f>
              <c:numCache>
                <c:formatCode>General</c:formatCode>
                <c:ptCount val="19"/>
              </c:numCache>
            </c:numRef>
          </c:val>
          <c:smooth val="0"/>
          <c:extLst>
            <c:ext xmlns:c16="http://schemas.microsoft.com/office/drawing/2014/chart" uri="{C3380CC4-5D6E-409C-BE32-E72D297353CC}">
              <c16:uniqueId val="{00000001-4E37-4BD7-B261-48DEA7177C6F}"/>
            </c:ext>
          </c:extLst>
        </c:ser>
        <c:dLbls>
          <c:showLegendKey val="0"/>
          <c:showVal val="0"/>
          <c:showCatName val="0"/>
          <c:showSerName val="0"/>
          <c:showPercent val="0"/>
          <c:showBubbleSize val="0"/>
        </c:dLbls>
        <c:smooth val="0"/>
        <c:axId val="220241320"/>
        <c:axId val="220240336"/>
      </c:lineChart>
      <c:catAx>
        <c:axId val="22024132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0240336"/>
        <c:crosses val="autoZero"/>
        <c:auto val="1"/>
        <c:lblAlgn val="ctr"/>
        <c:lblOffset val="100"/>
        <c:noMultiLvlLbl val="0"/>
      </c:catAx>
      <c:valAx>
        <c:axId val="2202403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02413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Below Median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val>
            <c:numRef>
              <c:f>'Business Income per Return e)'!$N$2:$N$5</c:f>
              <c:numCache>
                <c:formatCode>0.00</c:formatCode>
                <c:ptCount val="4"/>
                <c:pt idx="0">
                  <c:v>0.88788485473435097</c:v>
                </c:pt>
                <c:pt idx="1">
                  <c:v>3.3462180941517499</c:v>
                </c:pt>
                <c:pt idx="2">
                  <c:v>-1.3357734748871699</c:v>
                </c:pt>
                <c:pt idx="3">
                  <c:v>3.5671526096695998</c:v>
                </c:pt>
              </c:numCache>
            </c:numRef>
          </c:val>
          <c:smooth val="0"/>
          <c:extLst>
            <c:ext xmlns:c16="http://schemas.microsoft.com/office/drawing/2014/chart" uri="{C3380CC4-5D6E-409C-BE32-E72D297353CC}">
              <c16:uniqueId val="{00000000-F2D5-4FF5-8408-CC6212599323}"/>
            </c:ext>
          </c:extLst>
        </c:ser>
        <c:ser>
          <c:idx val="1"/>
          <c:order val="1"/>
          <c:spPr>
            <a:ln w="28575" cap="rnd">
              <a:solidFill>
                <a:schemeClr val="accent2"/>
              </a:solidFill>
              <a:round/>
            </a:ln>
            <a:effectLst/>
          </c:spPr>
          <c:marker>
            <c:symbol val="none"/>
          </c:marker>
          <c:val>
            <c:numRef>
              <c:f>'Business Income per Return e)'!$P$2:$P$5</c:f>
              <c:numCache>
                <c:formatCode>0.00</c:formatCode>
                <c:ptCount val="4"/>
                <c:pt idx="0">
                  <c:v>49.177941280277402</c:v>
                </c:pt>
                <c:pt idx="1">
                  <c:v>41.833930450947399</c:v>
                </c:pt>
                <c:pt idx="2">
                  <c:v>16.634372363064202</c:v>
                </c:pt>
                <c:pt idx="3">
                  <c:v>26.366156952325198</c:v>
                </c:pt>
              </c:numCache>
            </c:numRef>
          </c:val>
          <c:smooth val="0"/>
          <c:extLst>
            <c:ext xmlns:c16="http://schemas.microsoft.com/office/drawing/2014/chart" uri="{C3380CC4-5D6E-409C-BE32-E72D297353CC}">
              <c16:uniqueId val="{00000001-F2D5-4FF5-8408-CC6212599323}"/>
            </c:ext>
          </c:extLst>
        </c:ser>
        <c:dLbls>
          <c:showLegendKey val="0"/>
          <c:showVal val="0"/>
          <c:showCatName val="0"/>
          <c:showSerName val="0"/>
          <c:showPercent val="0"/>
          <c:showBubbleSize val="0"/>
        </c:dLbls>
        <c:smooth val="0"/>
        <c:axId val="422378024"/>
        <c:axId val="422380648"/>
      </c:lineChart>
      <c:catAx>
        <c:axId val="42237802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2380648"/>
        <c:crosses val="autoZero"/>
        <c:auto val="1"/>
        <c:lblAlgn val="ctr"/>
        <c:lblOffset val="100"/>
        <c:noMultiLvlLbl val="0"/>
      </c:catAx>
      <c:valAx>
        <c:axId val="42238064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23780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Above Median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val>
            <c:numRef>
              <c:f>'Business Income per Return e)'!$O$2:$O$5</c:f>
              <c:numCache>
                <c:formatCode>0.00</c:formatCode>
                <c:ptCount val="4"/>
                <c:pt idx="0">
                  <c:v>101.80202831875199</c:v>
                </c:pt>
                <c:pt idx="1">
                  <c:v>149.47968050132201</c:v>
                </c:pt>
                <c:pt idx="2">
                  <c:v>109.229690333394</c:v>
                </c:pt>
                <c:pt idx="3">
                  <c:v>176.36939880026199</c:v>
                </c:pt>
              </c:numCache>
            </c:numRef>
          </c:val>
          <c:smooth val="0"/>
          <c:extLst>
            <c:ext xmlns:c16="http://schemas.microsoft.com/office/drawing/2014/chart" uri="{C3380CC4-5D6E-409C-BE32-E72D297353CC}">
              <c16:uniqueId val="{00000000-F977-432C-945F-AC09340F4FAE}"/>
            </c:ext>
          </c:extLst>
        </c:ser>
        <c:ser>
          <c:idx val="1"/>
          <c:order val="1"/>
          <c:spPr>
            <a:ln w="28575" cap="rnd">
              <a:solidFill>
                <a:schemeClr val="accent2"/>
              </a:solidFill>
              <a:round/>
            </a:ln>
            <a:effectLst/>
          </c:spPr>
          <c:marker>
            <c:symbol val="none"/>
          </c:marker>
          <c:val>
            <c:numRef>
              <c:f>'Business Income per Return e)'!$Q$2:$Q$5</c:f>
              <c:numCache>
                <c:formatCode>0.00</c:formatCode>
                <c:ptCount val="4"/>
                <c:pt idx="0">
                  <c:v>399.13890590396699</c:v>
                </c:pt>
                <c:pt idx="1">
                  <c:v>449.18224107952398</c:v>
                </c:pt>
                <c:pt idx="2">
                  <c:v>457.64040385634399</c:v>
                </c:pt>
                <c:pt idx="3">
                  <c:v>363.47952038305198</c:v>
                </c:pt>
              </c:numCache>
            </c:numRef>
          </c:val>
          <c:smooth val="0"/>
          <c:extLst>
            <c:ext xmlns:c16="http://schemas.microsoft.com/office/drawing/2014/chart" uri="{C3380CC4-5D6E-409C-BE32-E72D297353CC}">
              <c16:uniqueId val="{00000001-F977-432C-945F-AC09340F4FAE}"/>
            </c:ext>
          </c:extLst>
        </c:ser>
        <c:dLbls>
          <c:showLegendKey val="0"/>
          <c:showVal val="0"/>
          <c:showCatName val="0"/>
          <c:showSerName val="0"/>
          <c:showPercent val="0"/>
          <c:showBubbleSize val="0"/>
        </c:dLbls>
        <c:smooth val="0"/>
        <c:axId val="279589192"/>
        <c:axId val="279590504"/>
      </c:lineChart>
      <c:catAx>
        <c:axId val="27958919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9590504"/>
        <c:crosses val="autoZero"/>
        <c:auto val="1"/>
        <c:lblAlgn val="ctr"/>
        <c:lblOffset val="100"/>
        <c:noMultiLvlLbl val="0"/>
      </c:catAx>
      <c:valAx>
        <c:axId val="27959050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958919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'Gini coefficients Sch C'!$B$2</c:f>
              <c:strCache>
                <c:ptCount val="1"/>
                <c:pt idx="0">
                  <c:v>IRS All</c:v>
                </c:pt>
              </c:strCache>
            </c:strRef>
          </c:tx>
          <c:spPr>
            <a:ln w="28575" cap="rnd">
              <a:solidFill>
                <a:schemeClr val="accent1"/>
              </a:solidFill>
              <a:round/>
            </a:ln>
            <a:effectLst/>
          </c:spPr>
          <c:marker>
            <c:symbol val="none"/>
          </c:marker>
          <c:val>
            <c:numRef>
              <c:f>'Gini coefficients Sch C'!$B$3:$B$12</c:f>
              <c:numCache>
                <c:formatCode>0.00</c:formatCode>
                <c:ptCount val="10"/>
                <c:pt idx="0">
                  <c:v>0.40772103999999998</c:v>
                </c:pt>
                <c:pt idx="1">
                  <c:v>0.47169589000000001</c:v>
                </c:pt>
                <c:pt idx="2">
                  <c:v>0.48462608000000001</c:v>
                </c:pt>
                <c:pt idx="3">
                  <c:v>0.45948441000000001</c:v>
                </c:pt>
                <c:pt idx="4">
                  <c:v>0.46627924999999998</c:v>
                </c:pt>
                <c:pt idx="5">
                  <c:v>0.45886858000000003</c:v>
                </c:pt>
                <c:pt idx="6">
                  <c:v>0.47775121999999998</c:v>
                </c:pt>
                <c:pt idx="7">
                  <c:v>0.52451130000000001</c:v>
                </c:pt>
                <c:pt idx="8">
                  <c:v>0.44818654000000002</c:v>
                </c:pt>
                <c:pt idx="9">
                  <c:v>0.45514924000000001</c:v>
                </c:pt>
              </c:numCache>
            </c:numRef>
          </c:val>
          <c:smooth val="0"/>
          <c:extLst>
            <c:ext xmlns:c16="http://schemas.microsoft.com/office/drawing/2014/chart" uri="{C3380CC4-5D6E-409C-BE32-E72D297353CC}">
              <c16:uniqueId val="{00000000-6CBD-457E-90FE-4CC879BBC3E7}"/>
            </c:ext>
          </c:extLst>
        </c:ser>
        <c:ser>
          <c:idx val="1"/>
          <c:order val="1"/>
          <c:tx>
            <c:strRef>
              <c:f>'Gini coefficients Sch C'!$C$2</c:f>
              <c:strCache>
                <c:ptCount val="1"/>
                <c:pt idx="0">
                  <c:v>SCF All</c:v>
                </c:pt>
              </c:strCache>
            </c:strRef>
          </c:tx>
          <c:spPr>
            <a:ln w="28575" cap="rnd">
              <a:solidFill>
                <a:schemeClr val="accent2"/>
              </a:solidFill>
              <a:round/>
            </a:ln>
            <a:effectLst/>
          </c:spPr>
          <c:marker>
            <c:symbol val="none"/>
          </c:marker>
          <c:val>
            <c:numRef>
              <c:f>'Gini coefficients Sch C'!$C$3:$C$12</c:f>
              <c:numCache>
                <c:formatCode>0.00</c:formatCode>
                <c:ptCount val="10"/>
                <c:pt idx="0">
                  <c:v>0.57213985000000001</c:v>
                </c:pt>
                <c:pt idx="1">
                  <c:v>0.60945499000000003</c:v>
                </c:pt>
                <c:pt idx="2">
                  <c:v>0.69922569000000001</c:v>
                </c:pt>
                <c:pt idx="3">
                  <c:v>0.63265492000000001</c:v>
                </c:pt>
                <c:pt idx="4">
                  <c:v>0.53838076000000001</c:v>
                </c:pt>
                <c:pt idx="5">
                  <c:v>0.46662073999999998</c:v>
                </c:pt>
                <c:pt idx="6">
                  <c:v>0.40081454</c:v>
                </c:pt>
                <c:pt idx="7">
                  <c:v>0.43984250000000003</c:v>
                </c:pt>
                <c:pt idx="8">
                  <c:v>0.49024216999999998</c:v>
                </c:pt>
                <c:pt idx="9">
                  <c:v>0.39471795999999998</c:v>
                </c:pt>
              </c:numCache>
            </c:numRef>
          </c:val>
          <c:smooth val="0"/>
          <c:extLst>
            <c:ext xmlns:c16="http://schemas.microsoft.com/office/drawing/2014/chart" uri="{C3380CC4-5D6E-409C-BE32-E72D297353CC}">
              <c16:uniqueId val="{00000001-6CBD-457E-90FE-4CC879BBC3E7}"/>
            </c:ext>
          </c:extLst>
        </c:ser>
        <c:dLbls>
          <c:showLegendKey val="0"/>
          <c:showVal val="0"/>
          <c:showCatName val="0"/>
          <c:showSerName val="0"/>
          <c:showPercent val="0"/>
          <c:showBubbleSize val="0"/>
        </c:dLbls>
        <c:smooth val="0"/>
        <c:axId val="425781808"/>
        <c:axId val="425782792"/>
      </c:lineChart>
      <c:catAx>
        <c:axId val="425781808"/>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5782792"/>
        <c:crosses val="autoZero"/>
        <c:auto val="1"/>
        <c:lblAlgn val="ctr"/>
        <c:lblOffset val="100"/>
        <c:noMultiLvlLbl val="0"/>
      </c:catAx>
      <c:valAx>
        <c:axId val="425782792"/>
        <c:scaling>
          <c:orientation val="minMax"/>
          <c:min val="0.30000000000000004"/>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57818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val>
            <c:numRef>
              <c:f>'Gini coefficients Sch C'!$B$3:$B$12</c:f>
              <c:numCache>
                <c:formatCode>0.00</c:formatCode>
                <c:ptCount val="10"/>
                <c:pt idx="0">
                  <c:v>0.40772103999999998</c:v>
                </c:pt>
                <c:pt idx="1">
                  <c:v>0.47169589000000001</c:v>
                </c:pt>
                <c:pt idx="2">
                  <c:v>0.48462608000000001</c:v>
                </c:pt>
                <c:pt idx="3">
                  <c:v>0.45948441000000001</c:v>
                </c:pt>
                <c:pt idx="4">
                  <c:v>0.46627924999999998</c:v>
                </c:pt>
                <c:pt idx="5">
                  <c:v>0.45886858000000003</c:v>
                </c:pt>
                <c:pt idx="6">
                  <c:v>0.47775121999999998</c:v>
                </c:pt>
                <c:pt idx="7">
                  <c:v>0.52451130000000001</c:v>
                </c:pt>
                <c:pt idx="8">
                  <c:v>0.44818654000000002</c:v>
                </c:pt>
                <c:pt idx="9">
                  <c:v>0.45514924000000001</c:v>
                </c:pt>
              </c:numCache>
            </c:numRef>
          </c:val>
          <c:smooth val="0"/>
          <c:extLst>
            <c:ext xmlns:c16="http://schemas.microsoft.com/office/drawing/2014/chart" uri="{C3380CC4-5D6E-409C-BE32-E72D297353CC}">
              <c16:uniqueId val="{00000000-9D77-4D72-B629-3B614A94AC32}"/>
            </c:ext>
          </c:extLst>
        </c:ser>
        <c:ser>
          <c:idx val="1"/>
          <c:order val="1"/>
          <c:spPr>
            <a:ln w="28575" cap="rnd">
              <a:solidFill>
                <a:schemeClr val="accent2"/>
              </a:solidFill>
              <a:round/>
            </a:ln>
            <a:effectLst/>
          </c:spPr>
          <c:marker>
            <c:symbol val="none"/>
          </c:marker>
          <c:val>
            <c:numRef>
              <c:f>'Gini coefficients Sch C'!$C$3:$C$12</c:f>
              <c:numCache>
                <c:formatCode>0.00</c:formatCode>
                <c:ptCount val="10"/>
                <c:pt idx="0">
                  <c:v>0.57213985000000001</c:v>
                </c:pt>
                <c:pt idx="1">
                  <c:v>0.60945499000000003</c:v>
                </c:pt>
                <c:pt idx="2">
                  <c:v>0.69922569000000001</c:v>
                </c:pt>
                <c:pt idx="3">
                  <c:v>0.63265492000000001</c:v>
                </c:pt>
                <c:pt idx="4">
                  <c:v>0.53838076000000001</c:v>
                </c:pt>
                <c:pt idx="5">
                  <c:v>0.46662073999999998</c:v>
                </c:pt>
                <c:pt idx="6">
                  <c:v>0.40081454</c:v>
                </c:pt>
                <c:pt idx="7">
                  <c:v>0.43984250000000003</c:v>
                </c:pt>
                <c:pt idx="8">
                  <c:v>0.49024216999999998</c:v>
                </c:pt>
                <c:pt idx="9">
                  <c:v>0.39471795999999998</c:v>
                </c:pt>
              </c:numCache>
            </c:numRef>
          </c:val>
          <c:smooth val="0"/>
          <c:extLst>
            <c:ext xmlns:c16="http://schemas.microsoft.com/office/drawing/2014/chart" uri="{C3380CC4-5D6E-409C-BE32-E72D297353CC}">
              <c16:uniqueId val="{00000001-9D77-4D72-B629-3B614A94AC32}"/>
            </c:ext>
          </c:extLst>
        </c:ser>
        <c:ser>
          <c:idx val="2"/>
          <c:order val="2"/>
          <c:spPr>
            <a:ln w="28575" cap="rnd">
              <a:solidFill>
                <a:schemeClr val="accent3"/>
              </a:solidFill>
              <a:round/>
            </a:ln>
            <a:effectLst/>
          </c:spPr>
          <c:marker>
            <c:symbol val="none"/>
          </c:marker>
          <c:val>
            <c:numRef>
              <c:f>'Gini coefficients Sch C'!$P$3:$P$12</c:f>
              <c:numCache>
                <c:formatCode>General</c:formatCode>
                <c:ptCount val="10"/>
                <c:pt idx="0">
                  <c:v>0.74615456000000002</c:v>
                </c:pt>
                <c:pt idx="1">
                  <c:v>0.79778534000000001</c:v>
                </c:pt>
                <c:pt idx="2">
                  <c:v>0.82760213000000005</c:v>
                </c:pt>
                <c:pt idx="3">
                  <c:v>0.80235212</c:v>
                </c:pt>
                <c:pt idx="4">
                  <c:v>0.81635913999999998</c:v>
                </c:pt>
                <c:pt idx="5">
                  <c:v>0.76392006000000001</c:v>
                </c:pt>
                <c:pt idx="6">
                  <c:v>0.70058591999999997</c:v>
                </c:pt>
                <c:pt idx="7">
                  <c:v>0.68300872999999995</c:v>
                </c:pt>
                <c:pt idx="8">
                  <c:v>0.71586494000000001</c:v>
                </c:pt>
                <c:pt idx="9">
                  <c:v>0.67268733000000003</c:v>
                </c:pt>
              </c:numCache>
            </c:numRef>
          </c:val>
          <c:smooth val="0"/>
          <c:extLst>
            <c:ext xmlns:c16="http://schemas.microsoft.com/office/drawing/2014/chart" uri="{C3380CC4-5D6E-409C-BE32-E72D297353CC}">
              <c16:uniqueId val="{00000002-9D77-4D72-B629-3B614A94AC32}"/>
            </c:ext>
          </c:extLst>
        </c:ser>
        <c:dLbls>
          <c:showLegendKey val="0"/>
          <c:showVal val="0"/>
          <c:showCatName val="0"/>
          <c:showSerName val="0"/>
          <c:showPercent val="0"/>
          <c:showBubbleSize val="0"/>
        </c:dLbls>
        <c:smooth val="0"/>
        <c:axId val="599224952"/>
        <c:axId val="599234136"/>
      </c:lineChart>
      <c:catAx>
        <c:axId val="59922495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9234136"/>
        <c:crosses val="autoZero"/>
        <c:auto val="1"/>
        <c:lblAlgn val="ctr"/>
        <c:lblOffset val="100"/>
        <c:noMultiLvlLbl val="0"/>
      </c:catAx>
      <c:valAx>
        <c:axId val="59923413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92249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'Gini coefficients Scorps'!$B$2</c:f>
              <c:strCache>
                <c:ptCount val="1"/>
                <c:pt idx="0">
                  <c:v>GINI IRS</c:v>
                </c:pt>
              </c:strCache>
            </c:strRef>
          </c:tx>
          <c:spPr>
            <a:ln w="28575" cap="rnd">
              <a:solidFill>
                <a:schemeClr val="accent1"/>
              </a:solidFill>
              <a:round/>
            </a:ln>
            <a:effectLst/>
          </c:spPr>
          <c:marker>
            <c:symbol val="none"/>
          </c:marker>
          <c:val>
            <c:numRef>
              <c:f>'Gini coefficients Scorps'!$B$3:$B$6</c:f>
              <c:numCache>
                <c:formatCode>0.00</c:formatCode>
                <c:ptCount val="4"/>
                <c:pt idx="0">
                  <c:v>0.3523693</c:v>
                </c:pt>
                <c:pt idx="1">
                  <c:v>0.30860388</c:v>
                </c:pt>
                <c:pt idx="2">
                  <c:v>0.27821686000000001</c:v>
                </c:pt>
                <c:pt idx="3">
                  <c:v>0.45948441000000001</c:v>
                </c:pt>
              </c:numCache>
            </c:numRef>
          </c:val>
          <c:smooth val="0"/>
          <c:extLst>
            <c:ext xmlns:c16="http://schemas.microsoft.com/office/drawing/2014/chart" uri="{C3380CC4-5D6E-409C-BE32-E72D297353CC}">
              <c16:uniqueId val="{00000000-6537-47C8-A043-2B2D6D8E5C99}"/>
            </c:ext>
          </c:extLst>
        </c:ser>
        <c:ser>
          <c:idx val="1"/>
          <c:order val="1"/>
          <c:tx>
            <c:strRef>
              <c:f>'Gini coefficients Scorps'!$C$2</c:f>
              <c:strCache>
                <c:ptCount val="1"/>
                <c:pt idx="0">
                  <c:v>GINI SCF</c:v>
                </c:pt>
              </c:strCache>
            </c:strRef>
          </c:tx>
          <c:spPr>
            <a:ln w="28575" cap="rnd">
              <a:solidFill>
                <a:schemeClr val="accent2"/>
              </a:solidFill>
              <a:round/>
            </a:ln>
            <a:effectLst/>
          </c:spPr>
          <c:marker>
            <c:symbol val="none"/>
          </c:marker>
          <c:val>
            <c:numRef>
              <c:f>'Gini coefficients Scorps'!$C$3:$C$6</c:f>
              <c:numCache>
                <c:formatCode>0.00</c:formatCode>
                <c:ptCount val="4"/>
                <c:pt idx="0">
                  <c:v>0.77293948999999995</c:v>
                </c:pt>
                <c:pt idx="1">
                  <c:v>0.73127003000000002</c:v>
                </c:pt>
                <c:pt idx="2">
                  <c:v>0.62780393000000001</c:v>
                </c:pt>
                <c:pt idx="3">
                  <c:v>0.63265492000000001</c:v>
                </c:pt>
              </c:numCache>
            </c:numRef>
          </c:val>
          <c:smooth val="0"/>
          <c:extLst>
            <c:ext xmlns:c16="http://schemas.microsoft.com/office/drawing/2014/chart" uri="{C3380CC4-5D6E-409C-BE32-E72D297353CC}">
              <c16:uniqueId val="{00000001-6537-47C8-A043-2B2D6D8E5C99}"/>
            </c:ext>
          </c:extLst>
        </c:ser>
        <c:dLbls>
          <c:showLegendKey val="0"/>
          <c:showVal val="0"/>
          <c:showCatName val="0"/>
          <c:showSerName val="0"/>
          <c:showPercent val="0"/>
          <c:showBubbleSize val="0"/>
        </c:dLbls>
        <c:smooth val="0"/>
        <c:axId val="425792960"/>
        <c:axId val="425793616"/>
      </c:lineChart>
      <c:catAx>
        <c:axId val="42579296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5793616"/>
        <c:crosses val="autoZero"/>
        <c:auto val="1"/>
        <c:lblAlgn val="ctr"/>
        <c:lblOffset val="100"/>
        <c:noMultiLvlLbl val="0"/>
      </c:catAx>
      <c:valAx>
        <c:axId val="42579361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57929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16</xdr:col>
      <xdr:colOff>884850</xdr:colOff>
      <xdr:row>0</xdr:row>
      <xdr:rowOff>180171</xdr:rowOff>
    </xdr:from>
    <xdr:to>
      <xdr:col>27</xdr:col>
      <xdr:colOff>172764</xdr:colOff>
      <xdr:row>16</xdr:row>
      <xdr:rowOff>18246</xdr:rowOff>
    </xdr:to>
    <xdr:graphicFrame macro="">
      <xdr:nvGraphicFramePr>
        <xdr:cNvPr id="3" name="Chart 2">
          <a:extLst>
            <a:ext uri="{FF2B5EF4-FFF2-40B4-BE49-F238E27FC236}">
              <a16:creationId xmlns:a16="http://schemas.microsoft.com/office/drawing/2014/main" id="{36ECD1C2-63C4-48D7-9D56-8A4729784D7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38335</xdr:colOff>
      <xdr:row>2</xdr:row>
      <xdr:rowOff>107417</xdr:rowOff>
    </xdr:from>
    <xdr:to>
      <xdr:col>16</xdr:col>
      <xdr:colOff>875707</xdr:colOff>
      <xdr:row>17</xdr:row>
      <xdr:rowOff>135992</xdr:rowOff>
    </xdr:to>
    <xdr:graphicFrame macro="">
      <xdr:nvGraphicFramePr>
        <xdr:cNvPr id="4" name="Chart 3">
          <a:extLst>
            <a:ext uri="{FF2B5EF4-FFF2-40B4-BE49-F238E27FC236}">
              <a16:creationId xmlns:a16="http://schemas.microsoft.com/office/drawing/2014/main" id="{A8CC1C8D-0B23-4B93-B5F5-86DF0545216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61</xdr:col>
      <xdr:colOff>1</xdr:colOff>
      <xdr:row>68</xdr:row>
      <xdr:rowOff>9524</xdr:rowOff>
    </xdr:from>
    <xdr:to>
      <xdr:col>68</xdr:col>
      <xdr:colOff>285751</xdr:colOff>
      <xdr:row>82</xdr:row>
      <xdr:rowOff>85724</xdr:rowOff>
    </xdr:to>
    <xdr:graphicFrame macro="">
      <xdr:nvGraphicFramePr>
        <xdr:cNvPr id="2" name="Chart 1">
          <a:extLst>
            <a:ext uri="{FF2B5EF4-FFF2-40B4-BE49-F238E27FC236}">
              <a16:creationId xmlns:a16="http://schemas.microsoft.com/office/drawing/2014/main" id="{D0A236AF-44BC-44D2-B18A-FF96716F19A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32</xdr:col>
      <xdr:colOff>1</xdr:colOff>
      <xdr:row>68</xdr:row>
      <xdr:rowOff>9524</xdr:rowOff>
    </xdr:from>
    <xdr:to>
      <xdr:col>39</xdr:col>
      <xdr:colOff>285751</xdr:colOff>
      <xdr:row>82</xdr:row>
      <xdr:rowOff>85724</xdr:rowOff>
    </xdr:to>
    <xdr:graphicFrame macro="">
      <xdr:nvGraphicFramePr>
        <xdr:cNvPr id="2" name="Chart 1">
          <a:extLst>
            <a:ext uri="{FF2B5EF4-FFF2-40B4-BE49-F238E27FC236}">
              <a16:creationId xmlns:a16="http://schemas.microsoft.com/office/drawing/2014/main" id="{6117BB3C-5B56-4AEA-908C-E16EB1B1EC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523875</xdr:colOff>
      <xdr:row>26</xdr:row>
      <xdr:rowOff>23812</xdr:rowOff>
    </xdr:from>
    <xdr:to>
      <xdr:col>9</xdr:col>
      <xdr:colOff>85725</xdr:colOff>
      <xdr:row>40</xdr:row>
      <xdr:rowOff>100012</xdr:rowOff>
    </xdr:to>
    <xdr:graphicFrame macro="">
      <xdr:nvGraphicFramePr>
        <xdr:cNvPr id="2" name="Chart 1">
          <a:extLst>
            <a:ext uri="{FF2B5EF4-FFF2-40B4-BE49-F238E27FC236}">
              <a16:creationId xmlns:a16="http://schemas.microsoft.com/office/drawing/2014/main" id="{F4651C46-9C86-47D8-AE30-45221D5218C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285750</xdr:colOff>
      <xdr:row>22</xdr:row>
      <xdr:rowOff>80962</xdr:rowOff>
    </xdr:from>
    <xdr:to>
      <xdr:col>18</xdr:col>
      <xdr:colOff>371475</xdr:colOff>
      <xdr:row>36</xdr:row>
      <xdr:rowOff>157162</xdr:rowOff>
    </xdr:to>
    <xdr:graphicFrame macro="">
      <xdr:nvGraphicFramePr>
        <xdr:cNvPr id="3" name="Chart 2">
          <a:extLst>
            <a:ext uri="{FF2B5EF4-FFF2-40B4-BE49-F238E27FC236}">
              <a16:creationId xmlns:a16="http://schemas.microsoft.com/office/drawing/2014/main" id="{9CC70D47-9213-49BC-81DE-DCA6ACB7B54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15</xdr:col>
      <xdr:colOff>76200</xdr:colOff>
      <xdr:row>19</xdr:row>
      <xdr:rowOff>71437</xdr:rowOff>
    </xdr:from>
    <xdr:to>
      <xdr:col>23</xdr:col>
      <xdr:colOff>152400</xdr:colOff>
      <xdr:row>33</xdr:row>
      <xdr:rowOff>147637</xdr:rowOff>
    </xdr:to>
    <xdr:graphicFrame macro="">
      <xdr:nvGraphicFramePr>
        <xdr:cNvPr id="2" name="Chart 1">
          <a:extLst>
            <a:ext uri="{FF2B5EF4-FFF2-40B4-BE49-F238E27FC236}">
              <a16:creationId xmlns:a16="http://schemas.microsoft.com/office/drawing/2014/main" id="{57078E8E-9C45-40A4-ADEF-C06354BB93C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723900</xdr:colOff>
      <xdr:row>3</xdr:row>
      <xdr:rowOff>23812</xdr:rowOff>
    </xdr:from>
    <xdr:to>
      <xdr:col>13</xdr:col>
      <xdr:colOff>238125</xdr:colOff>
      <xdr:row>17</xdr:row>
      <xdr:rowOff>100012</xdr:rowOff>
    </xdr:to>
    <xdr:graphicFrame macro="">
      <xdr:nvGraphicFramePr>
        <xdr:cNvPr id="4" name="Chart 3">
          <a:extLst>
            <a:ext uri="{FF2B5EF4-FFF2-40B4-BE49-F238E27FC236}">
              <a16:creationId xmlns:a16="http://schemas.microsoft.com/office/drawing/2014/main" id="{18D32D31-920E-48C5-8399-1B3D9F8CCCC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200025</xdr:colOff>
      <xdr:row>3</xdr:row>
      <xdr:rowOff>71437</xdr:rowOff>
    </xdr:from>
    <xdr:to>
      <xdr:col>13</xdr:col>
      <xdr:colOff>276225</xdr:colOff>
      <xdr:row>17</xdr:row>
      <xdr:rowOff>147637</xdr:rowOff>
    </xdr:to>
    <xdr:graphicFrame macro="">
      <xdr:nvGraphicFramePr>
        <xdr:cNvPr id="3" name="Chart 2">
          <a:extLst>
            <a:ext uri="{FF2B5EF4-FFF2-40B4-BE49-F238E27FC236}">
              <a16:creationId xmlns:a16="http://schemas.microsoft.com/office/drawing/2014/main" id="{AAAC7DB8-55A7-4E95-9608-2E2C88DBD2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6"/>
  <sheetViews>
    <sheetView zoomScale="85" zoomScaleNormal="85" workbookViewId="0">
      <selection activeCell="B4" sqref="B4"/>
    </sheetView>
  </sheetViews>
  <sheetFormatPr defaultRowHeight="14.25" x14ac:dyDescent="0.45"/>
  <cols>
    <col min="1" max="1" width="7.86328125"/>
    <col min="2" max="3" width="8.86328125"/>
    <col min="4" max="4" width="12"/>
    <col min="5" max="5" width="12.1328125"/>
    <col min="6" max="6" width="12.59765625"/>
    <col min="7" max="7" width="12"/>
    <col min="8" max="9" width="7.86328125"/>
    <col min="10" max="10" width="12"/>
    <col min="11" max="11" width="12.1328125"/>
    <col min="12" max="12" width="12.59765625"/>
    <col min="13" max="13" width="12"/>
    <col min="14" max="14" width="8.3984375"/>
    <col min="15" max="16" width="14.1328125"/>
    <col min="17" max="17" width="15.1328125"/>
    <col min="18" max="18" width="13.59765625"/>
    <col min="19" max="19" width="14.1328125"/>
    <col min="20" max="20" width="12.86328125"/>
    <col min="21" max="21" width="13.59765625"/>
    <col min="22" max="22" width="14.1328125"/>
    <col min="23" max="23" width="12.86328125"/>
    <col min="24" max="24" width="13.59765625"/>
    <col min="25" max="25" width="14.1328125"/>
    <col min="26" max="26" width="12.86328125"/>
    <col min="27" max="27" width="13.59765625"/>
    <col min="28" max="28" width="14.1328125"/>
    <col min="29" max="29" width="12.86328125"/>
    <col min="30" max="30" width="13.59765625"/>
    <col min="31" max="31" width="14.1328125"/>
    <col min="32" max="32" width="12.86328125"/>
    <col min="33" max="1025" width="8.3984375"/>
  </cols>
  <sheetData>
    <row r="1" spans="1:13" ht="18" x14ac:dyDescent="0.55000000000000004">
      <c r="B1" s="83" t="s">
        <v>0</v>
      </c>
      <c r="C1" s="83"/>
      <c r="D1" s="83"/>
      <c r="E1" s="83"/>
      <c r="F1" s="83"/>
      <c r="G1" s="83"/>
      <c r="H1" s="83" t="s">
        <v>1</v>
      </c>
      <c r="I1" s="83"/>
      <c r="J1" s="83"/>
      <c r="K1" s="83"/>
      <c r="L1" s="83"/>
      <c r="M1" s="83"/>
    </row>
    <row r="3" spans="1:13" x14ac:dyDescent="0.45">
      <c r="A3" t="s">
        <v>2</v>
      </c>
      <c r="B3" t="s">
        <v>3</v>
      </c>
      <c r="C3" t="s">
        <v>4</v>
      </c>
      <c r="D3" s="1" t="s">
        <v>5</v>
      </c>
      <c r="E3" t="s">
        <v>6</v>
      </c>
      <c r="F3" t="s">
        <v>7</v>
      </c>
      <c r="G3" s="1" t="s">
        <v>5</v>
      </c>
      <c r="H3" t="s">
        <v>3</v>
      </c>
      <c r="I3" t="s">
        <v>4</v>
      </c>
      <c r="J3" s="1" t="s">
        <v>5</v>
      </c>
      <c r="K3" t="s">
        <v>6</v>
      </c>
      <c r="L3" t="s">
        <v>7</v>
      </c>
      <c r="M3" s="1" t="s">
        <v>5</v>
      </c>
    </row>
    <row r="4" spans="1:13" x14ac:dyDescent="0.45">
      <c r="A4">
        <v>1988</v>
      </c>
      <c r="B4" s="2">
        <v>3263.5360139999998</v>
      </c>
      <c r="C4" s="2">
        <v>3443.2829999999999</v>
      </c>
      <c r="D4" s="2">
        <f>100*(C4-B4)/B4</f>
        <v>5.5077371669537865</v>
      </c>
      <c r="E4" s="2">
        <v>29.7473993211816</v>
      </c>
      <c r="F4" s="2">
        <v>31.385807889796499</v>
      </c>
      <c r="G4" s="2">
        <v>5.5077371669537802</v>
      </c>
      <c r="H4" s="2">
        <v>2337.9841289999999</v>
      </c>
      <c r="I4" s="2">
        <v>2462.6298999999999</v>
      </c>
      <c r="J4" s="2">
        <f>100*(I4-H4)/H4</f>
        <v>5.331335206852466</v>
      </c>
      <c r="K4" s="2">
        <v>21.310917726538001</v>
      </c>
      <c r="L4" s="2">
        <v>22.4470741861963</v>
      </c>
      <c r="M4" s="2">
        <v>5.3313352068524802</v>
      </c>
    </row>
    <row r="5" spans="1:13" x14ac:dyDescent="0.45">
      <c r="A5">
        <v>1989</v>
      </c>
      <c r="B5" s="2">
        <v>3459.9175839999998</v>
      </c>
      <c r="C5" s="2"/>
      <c r="D5" s="2"/>
      <c r="E5" s="2">
        <v>30.854744894606402</v>
      </c>
      <c r="F5" s="2"/>
      <c r="G5" s="2"/>
      <c r="H5" s="2">
        <v>2449.5305530000001</v>
      </c>
      <c r="I5" s="2"/>
      <c r="J5" s="2"/>
      <c r="K5" s="2">
        <v>21.8443470081104</v>
      </c>
      <c r="L5" s="2"/>
      <c r="M5" s="2"/>
    </row>
    <row r="6" spans="1:13" x14ac:dyDescent="0.45">
      <c r="A6">
        <v>1990</v>
      </c>
      <c r="B6" s="2">
        <v>3629.5496210000001</v>
      </c>
      <c r="C6" s="2"/>
      <c r="D6" s="2"/>
      <c r="E6" s="2">
        <v>31.917349353269898</v>
      </c>
      <c r="F6" s="2"/>
      <c r="G6" s="2"/>
      <c r="H6" s="2">
        <v>2599.4012710000002</v>
      </c>
      <c r="I6" s="2"/>
      <c r="J6" s="2"/>
      <c r="K6" s="2">
        <v>22.8584830458888</v>
      </c>
      <c r="L6" s="2"/>
      <c r="M6" s="2"/>
    </row>
    <row r="7" spans="1:13" x14ac:dyDescent="0.45">
      <c r="A7">
        <v>1991</v>
      </c>
      <c r="B7" s="2">
        <v>3709.6462879999999</v>
      </c>
      <c r="C7" s="2">
        <v>4028.212</v>
      </c>
      <c r="D7" s="2">
        <f>100*(C7-B7)/B7</f>
        <v>8.5874956065353061</v>
      </c>
      <c r="E7" s="2">
        <v>32.333673066837001</v>
      </c>
      <c r="F7" s="2">
        <v>35.110325820883197</v>
      </c>
      <c r="G7" s="2">
        <v>8.5874956065353008</v>
      </c>
      <c r="H7" s="2">
        <v>2674.2607520000001</v>
      </c>
      <c r="I7" s="2">
        <v>2791.7764000000002</v>
      </c>
      <c r="J7" s="2">
        <f>100*(I7-H7)/H7</f>
        <v>4.3943227268363261</v>
      </c>
      <c r="K7" s="2">
        <v>23.309142203220699</v>
      </c>
      <c r="L7" s="2">
        <v>24.333421136487399</v>
      </c>
      <c r="M7" s="2">
        <v>4.3943227268363101</v>
      </c>
    </row>
    <row r="8" spans="1:13" x14ac:dyDescent="0.45">
      <c r="A8">
        <v>1992</v>
      </c>
      <c r="B8" s="2">
        <v>3890.720296</v>
      </c>
      <c r="C8" s="2"/>
      <c r="D8" s="2"/>
      <c r="E8" s="2">
        <v>34.247940823261203</v>
      </c>
      <c r="F8" s="2"/>
      <c r="G8" s="2"/>
      <c r="H8" s="2">
        <v>2805.703266</v>
      </c>
      <c r="I8" s="2"/>
      <c r="J8" s="2"/>
      <c r="K8" s="2">
        <v>24.697113159326101</v>
      </c>
      <c r="L8" s="2"/>
      <c r="M8" s="2"/>
    </row>
    <row r="9" spans="1:13" x14ac:dyDescent="0.45">
      <c r="A9">
        <v>1993</v>
      </c>
      <c r="B9" s="2">
        <v>3986.1208080000001</v>
      </c>
      <c r="C9" s="2"/>
      <c r="D9" s="2"/>
      <c r="E9" s="2">
        <v>34.7823519973972</v>
      </c>
      <c r="F9" s="2"/>
      <c r="G9" s="2"/>
      <c r="H9" s="2">
        <v>2892.12039</v>
      </c>
      <c r="I9" s="2"/>
      <c r="J9" s="2"/>
      <c r="K9" s="2">
        <v>25.2362520528579</v>
      </c>
      <c r="L9" s="2"/>
      <c r="M9" s="2"/>
    </row>
    <row r="10" spans="1:13" x14ac:dyDescent="0.45">
      <c r="A10">
        <v>1994</v>
      </c>
      <c r="B10" s="2">
        <v>4165.1684949999999</v>
      </c>
      <c r="C10" s="2">
        <v>4341.8118000000004</v>
      </c>
      <c r="D10" s="2">
        <f>100*(C10-B10)/B10</f>
        <v>4.240964206179143</v>
      </c>
      <c r="E10" s="2">
        <v>35.924236813994597</v>
      </c>
      <c r="F10" s="2">
        <v>37.447770838619199</v>
      </c>
      <c r="G10" s="2">
        <v>4.2409642061791697</v>
      </c>
      <c r="H10" s="2">
        <v>3026.7777059999999</v>
      </c>
      <c r="I10" s="2">
        <v>3264.89032</v>
      </c>
      <c r="J10" s="2">
        <f>100*(I10-H10)/H10</f>
        <v>7.8668682383905502</v>
      </c>
      <c r="K10" s="2">
        <v>26.1057095827436</v>
      </c>
      <c r="L10" s="2">
        <v>28.159411358315001</v>
      </c>
      <c r="M10" s="2">
        <v>7.8668682383905502</v>
      </c>
    </row>
    <row r="11" spans="1:13" x14ac:dyDescent="0.45">
      <c r="A11">
        <v>1995</v>
      </c>
      <c r="B11" s="2">
        <v>4447.3452779999998</v>
      </c>
      <c r="C11" s="2"/>
      <c r="D11" s="2"/>
      <c r="E11" s="2">
        <v>37.619761595847997</v>
      </c>
      <c r="F11" s="2"/>
      <c r="G11" s="2"/>
      <c r="H11" s="2">
        <v>3201.4565689999999</v>
      </c>
      <c r="I11" s="2"/>
      <c r="J11" s="2"/>
      <c r="K11" s="2">
        <v>27.080882044625799</v>
      </c>
      <c r="L11" s="2"/>
      <c r="M11" s="2"/>
    </row>
    <row r="12" spans="1:13" x14ac:dyDescent="0.45">
      <c r="A12">
        <v>1996</v>
      </c>
      <c r="B12" s="2">
        <v>4802.1639539999996</v>
      </c>
      <c r="C12" s="2"/>
      <c r="D12" s="2"/>
      <c r="E12" s="2">
        <v>39.9012526239039</v>
      </c>
      <c r="F12" s="2"/>
      <c r="G12" s="2"/>
      <c r="H12" s="2">
        <v>3376.871545</v>
      </c>
      <c r="I12" s="2"/>
      <c r="J12" s="2"/>
      <c r="K12" s="2">
        <v>28.058476529791001</v>
      </c>
      <c r="L12" s="2"/>
      <c r="M12" s="2"/>
    </row>
    <row r="13" spans="1:13" x14ac:dyDescent="0.45">
      <c r="A13">
        <v>1997</v>
      </c>
      <c r="B13" s="2">
        <v>5249.0914629999997</v>
      </c>
      <c r="C13" s="2">
        <v>5165.8689999999997</v>
      </c>
      <c r="D13" s="2">
        <f>100*(C13-B13)/B13</f>
        <v>-1.5854641433974204</v>
      </c>
      <c r="E13" s="2">
        <v>42.877030671719801</v>
      </c>
      <c r="F13" s="2">
        <v>42.197230724666099</v>
      </c>
      <c r="G13" s="2">
        <v>-1.5854641433974199</v>
      </c>
      <c r="H13" s="2">
        <v>3613.9184559999999</v>
      </c>
      <c r="I13" s="2">
        <v>3870.1601000000001</v>
      </c>
      <c r="J13" s="2">
        <f>100*(I13-H13)/H13</f>
        <v>7.0904102325434479</v>
      </c>
      <c r="K13" s="2">
        <v>29.520173838701901</v>
      </c>
      <c r="L13" s="2">
        <v>31.613275265225798</v>
      </c>
      <c r="M13" s="2">
        <v>7.0904102325434497</v>
      </c>
    </row>
    <row r="14" spans="1:13" x14ac:dyDescent="0.45">
      <c r="A14">
        <v>1998</v>
      </c>
      <c r="B14" s="2">
        <v>5721.3666990000002</v>
      </c>
      <c r="C14" s="2"/>
      <c r="D14" s="2"/>
      <c r="E14" s="2">
        <v>45.855064061453803</v>
      </c>
      <c r="F14" s="2"/>
      <c r="G14" s="2"/>
      <c r="H14" s="2">
        <v>3879.7622590000001</v>
      </c>
      <c r="I14" s="2"/>
      <c r="J14" s="2"/>
      <c r="K14" s="2">
        <v>31.095148465269801</v>
      </c>
      <c r="L14" s="2"/>
      <c r="M14" s="2"/>
    </row>
    <row r="15" spans="1:13" x14ac:dyDescent="0.45">
      <c r="A15">
        <v>1999</v>
      </c>
      <c r="B15" s="2">
        <v>6196.9266200000002</v>
      </c>
      <c r="C15" s="2"/>
      <c r="D15" s="2"/>
      <c r="E15" s="2">
        <v>48.765843391325703</v>
      </c>
      <c r="F15" s="2"/>
      <c r="G15" s="2"/>
      <c r="H15" s="2">
        <v>4132.4734589999998</v>
      </c>
      <c r="I15" s="2"/>
      <c r="J15" s="2"/>
      <c r="K15" s="2">
        <v>32.519919288701203</v>
      </c>
      <c r="L15" s="2"/>
      <c r="M15" s="2"/>
    </row>
    <row r="16" spans="1:13" x14ac:dyDescent="0.45">
      <c r="A16">
        <v>2000</v>
      </c>
      <c r="B16" s="2">
        <v>6761.5937489999997</v>
      </c>
      <c r="C16" s="2">
        <v>6745.3029999999999</v>
      </c>
      <c r="D16" s="2">
        <f>100*(C16-B16)/B16</f>
        <v>-0.24093060903591088</v>
      </c>
      <c r="E16" s="2">
        <v>52.264132523275698</v>
      </c>
      <c r="F16" s="2">
        <v>52.138212230480001</v>
      </c>
      <c r="G16" s="2">
        <v>-0.24093060903594901</v>
      </c>
      <c r="H16" s="2">
        <v>4456.1674380000004</v>
      </c>
      <c r="I16" s="2">
        <v>4997.1025</v>
      </c>
      <c r="J16" s="2">
        <f>100*(I16-H16)/H16</f>
        <v>12.139020122699428</v>
      </c>
      <c r="K16" s="2">
        <v>34.444205637166803</v>
      </c>
      <c r="L16" s="2">
        <v>38.625394690566502</v>
      </c>
      <c r="M16" s="2">
        <v>12.139020122699399</v>
      </c>
    </row>
    <row r="17" spans="1:13" x14ac:dyDescent="0.45">
      <c r="A17">
        <v>2001</v>
      </c>
      <c r="B17" s="2">
        <v>6516.462708</v>
      </c>
      <c r="C17" s="2"/>
      <c r="D17" s="2"/>
      <c r="E17" s="2">
        <v>50.028412354737</v>
      </c>
      <c r="F17" s="2"/>
      <c r="G17" s="2"/>
      <c r="H17" s="2">
        <v>4565.2292180000004</v>
      </c>
      <c r="I17" s="2"/>
      <c r="J17" s="2"/>
      <c r="K17" s="2">
        <v>35.048335277298698</v>
      </c>
      <c r="L17" s="2"/>
      <c r="M17" s="2"/>
    </row>
    <row r="18" spans="1:13" x14ac:dyDescent="0.45">
      <c r="A18">
        <v>2002</v>
      </c>
      <c r="B18" s="2">
        <v>6420.0956319999996</v>
      </c>
      <c r="C18" s="2"/>
      <c r="D18" s="2"/>
      <c r="E18" s="2">
        <v>49.356328355319498</v>
      </c>
      <c r="F18" s="2"/>
      <c r="G18" s="2"/>
      <c r="H18" s="2">
        <v>4559.6909029999997</v>
      </c>
      <c r="I18" s="2"/>
      <c r="J18" s="2"/>
      <c r="K18" s="2">
        <v>35.053932886218298</v>
      </c>
      <c r="L18" s="2"/>
      <c r="M18" s="2"/>
    </row>
    <row r="19" spans="1:13" x14ac:dyDescent="0.45">
      <c r="A19">
        <v>2003</v>
      </c>
      <c r="B19" s="2">
        <v>6682.1877839999997</v>
      </c>
      <c r="C19" s="2">
        <v>7208.9003000000002</v>
      </c>
      <c r="D19" s="2">
        <f>100*(C19-B19)/B19</f>
        <v>7.8823363399211006</v>
      </c>
      <c r="E19" s="2">
        <v>51.234488634750903</v>
      </c>
      <c r="F19" s="2">
        <v>55.272963350980604</v>
      </c>
      <c r="G19" s="2">
        <v>7.8823363399210997</v>
      </c>
      <c r="H19" s="2">
        <v>4649.9004930000001</v>
      </c>
      <c r="I19" s="2">
        <v>5362.7489999999998</v>
      </c>
      <c r="J19" s="2">
        <f>100*(I19-H19)/H19</f>
        <v>15.330403480098722</v>
      </c>
      <c r="K19" s="2">
        <v>35.652286595681701</v>
      </c>
      <c r="L19" s="2">
        <v>41.117925980680802</v>
      </c>
      <c r="M19" s="2">
        <v>15.330403480098701</v>
      </c>
    </row>
    <row r="20" spans="1:13" x14ac:dyDescent="0.45">
      <c r="A20">
        <v>2004</v>
      </c>
      <c r="B20" s="2">
        <v>7343.8590949999998</v>
      </c>
      <c r="C20" s="2"/>
      <c r="D20" s="2"/>
      <c r="E20" s="2">
        <v>55.540186970127998</v>
      </c>
      <c r="F20" s="2"/>
      <c r="G20" s="2"/>
      <c r="H20" s="2">
        <v>4921.8063439999996</v>
      </c>
      <c r="I20" s="2"/>
      <c r="J20" s="2"/>
      <c r="K20" s="2">
        <v>37.222670130291</v>
      </c>
      <c r="L20" s="2"/>
      <c r="M20" s="2"/>
    </row>
    <row r="21" spans="1:13" x14ac:dyDescent="0.45">
      <c r="A21">
        <v>2005</v>
      </c>
      <c r="B21" s="2">
        <v>8034.4684200000002</v>
      </c>
      <c r="C21" s="2"/>
      <c r="D21" s="2"/>
      <c r="E21" s="2">
        <v>59.792426106146401</v>
      </c>
      <c r="F21" s="2"/>
      <c r="G21" s="2"/>
      <c r="H21" s="2">
        <v>5155.407373</v>
      </c>
      <c r="I21" s="2"/>
      <c r="J21" s="2"/>
      <c r="K21" s="2">
        <v>38.366485283563399</v>
      </c>
      <c r="L21" s="2"/>
      <c r="M21" s="2"/>
    </row>
    <row r="22" spans="1:13" x14ac:dyDescent="0.45">
      <c r="A22">
        <v>2006</v>
      </c>
      <c r="B22" s="2">
        <v>8799.6879160000008</v>
      </c>
      <c r="C22" s="2">
        <v>8858.2369999999992</v>
      </c>
      <c r="D22" s="2">
        <f>100*(C22-B22)/B22</f>
        <v>0.66535409617813535</v>
      </c>
      <c r="E22" s="2">
        <v>63.5839702132062</v>
      </c>
      <c r="F22" s="2">
        <v>64.007028763532503</v>
      </c>
      <c r="G22" s="2">
        <v>0.66535409617816998</v>
      </c>
      <c r="H22" s="2">
        <v>5469.3701190000002</v>
      </c>
      <c r="I22" s="2">
        <v>6071.96</v>
      </c>
      <c r="J22" s="2">
        <f>100*(I22-H22)/H22</f>
        <v>11.017537081768664</v>
      </c>
      <c r="K22" s="2">
        <v>39.520068217325601</v>
      </c>
      <c r="L22" s="2">
        <v>43.874206387909801</v>
      </c>
      <c r="M22" s="2">
        <v>11.017537081768699</v>
      </c>
    </row>
    <row r="23" spans="1:13" x14ac:dyDescent="0.45">
      <c r="A23">
        <v>2007</v>
      </c>
      <c r="B23" s="2">
        <v>9517.7410930000005</v>
      </c>
      <c r="C23" s="2"/>
      <c r="D23" s="2"/>
      <c r="E23" s="2">
        <v>66.567495975592394</v>
      </c>
      <c r="F23" s="2"/>
      <c r="G23" s="2"/>
      <c r="H23" s="2">
        <v>5842.2698200000004</v>
      </c>
      <c r="I23" s="2"/>
      <c r="J23" s="2"/>
      <c r="K23" s="2">
        <v>40.861089719828797</v>
      </c>
      <c r="L23" s="2"/>
      <c r="M23" s="2"/>
    </row>
    <row r="24" spans="1:13" x14ac:dyDescent="0.45">
      <c r="A24">
        <v>2008</v>
      </c>
      <c r="B24" s="2">
        <v>9103.4916059999996</v>
      </c>
      <c r="C24" s="2"/>
      <c r="D24" s="2"/>
      <c r="E24" s="2">
        <v>63.9063197143144</v>
      </c>
      <c r="F24" s="2"/>
      <c r="G24" s="2"/>
      <c r="H24" s="2">
        <v>5950.6348289999996</v>
      </c>
      <c r="I24" s="2"/>
      <c r="J24" s="2"/>
      <c r="K24" s="2">
        <v>41.773331414351901</v>
      </c>
      <c r="L24" s="2"/>
      <c r="M24" s="2"/>
    </row>
    <row r="25" spans="1:13" x14ac:dyDescent="0.45">
      <c r="A25">
        <v>2009</v>
      </c>
      <c r="B25" s="2">
        <v>8464.4427539999997</v>
      </c>
      <c r="C25" s="2">
        <v>8512.2729999999992</v>
      </c>
      <c r="D25" s="2">
        <f>100*(C25-B25)/B25</f>
        <v>0.56507259119209741</v>
      </c>
      <c r="E25" s="2">
        <v>60.247662551759198</v>
      </c>
      <c r="F25" s="2">
        <v>60.588105579673098</v>
      </c>
      <c r="G25" s="2">
        <v>0.56507259119211395</v>
      </c>
      <c r="H25" s="2">
        <v>5707.088487</v>
      </c>
      <c r="I25" s="2">
        <v>6093.45</v>
      </c>
      <c r="J25" s="2">
        <f>100*(I25-H25)/H25</f>
        <v>6.7698532076396001</v>
      </c>
      <c r="K25" s="2">
        <v>40.621544892050899</v>
      </c>
      <c r="L25" s="2">
        <v>43.371563851918197</v>
      </c>
      <c r="M25" s="2">
        <v>6.7698532076396001</v>
      </c>
    </row>
    <row r="26" spans="1:13" x14ac:dyDescent="0.45">
      <c r="A26">
        <v>2010</v>
      </c>
      <c r="B26" s="2">
        <v>8942.4760929999993</v>
      </c>
      <c r="C26" s="2"/>
      <c r="D26" s="2"/>
      <c r="E26" s="2">
        <v>62.582040291380501</v>
      </c>
      <c r="F26" s="2"/>
      <c r="G26" s="2"/>
      <c r="H26" s="2">
        <v>5837.3503650000002</v>
      </c>
      <c r="I26" s="2"/>
      <c r="J26" s="2"/>
      <c r="K26" s="2">
        <v>40.8514702122933</v>
      </c>
      <c r="L26" s="2"/>
      <c r="M26" s="2"/>
    </row>
    <row r="27" spans="1:13" x14ac:dyDescent="0.45">
      <c r="A27">
        <v>2011</v>
      </c>
      <c r="B27" s="2">
        <v>9243.7363370000003</v>
      </c>
      <c r="C27" s="2"/>
      <c r="D27" s="2"/>
      <c r="E27" s="2">
        <v>63.587542656598799</v>
      </c>
      <c r="F27" s="2"/>
      <c r="G27" s="2"/>
      <c r="H27" s="2">
        <v>6055.3894339999997</v>
      </c>
      <c r="I27" s="2"/>
      <c r="J27" s="2"/>
      <c r="K27" s="2">
        <v>41.654945565199597</v>
      </c>
      <c r="L27" s="2"/>
      <c r="M27" s="2"/>
    </row>
    <row r="28" spans="1:13" x14ac:dyDescent="0.45">
      <c r="A28">
        <v>2012</v>
      </c>
      <c r="B28" s="2">
        <v>10093.83001</v>
      </c>
      <c r="C28" s="2">
        <v>9776.0630000000001</v>
      </c>
      <c r="D28" s="2">
        <f>100*(C28-B28)/B28</f>
        <v>-3.1481311819714266</v>
      </c>
      <c r="E28" s="2">
        <v>69.646977372396506</v>
      </c>
      <c r="F28" s="2">
        <v>67.4543991604355</v>
      </c>
      <c r="G28" s="2">
        <v>-3.1481311819714799</v>
      </c>
      <c r="H28" s="2">
        <v>6301.357591</v>
      </c>
      <c r="I28" s="2">
        <v>6517.674</v>
      </c>
      <c r="J28" s="2">
        <f>100*(I28-H28)/H28</f>
        <v>3.4328540457528849</v>
      </c>
      <c r="K28" s="2">
        <v>43.479086642133403</v>
      </c>
      <c r="L28" s="2">
        <v>44.971660226984199</v>
      </c>
      <c r="M28" s="2">
        <v>3.4328540457528902</v>
      </c>
    </row>
    <row r="29" spans="1:13" x14ac:dyDescent="0.45">
      <c r="A29">
        <v>2013</v>
      </c>
      <c r="B29" s="2">
        <v>10115.72076</v>
      </c>
      <c r="C29" s="2"/>
      <c r="D29" s="2"/>
      <c r="E29" s="2">
        <v>68.650367038840997</v>
      </c>
      <c r="F29" s="2"/>
      <c r="G29" s="2"/>
      <c r="H29" s="2">
        <v>6475.3808820000004</v>
      </c>
      <c r="I29" s="2"/>
      <c r="J29" s="2"/>
      <c r="K29" s="2">
        <v>43.945190344063398</v>
      </c>
      <c r="L29" s="2"/>
      <c r="M29" s="2"/>
    </row>
    <row r="30" spans="1:13" x14ac:dyDescent="0.45">
      <c r="A30">
        <v>2014</v>
      </c>
      <c r="B30" s="2">
        <v>10852.674093</v>
      </c>
      <c r="C30" s="2"/>
      <c r="D30" s="2"/>
      <c r="E30" s="2">
        <v>73.029567325074893</v>
      </c>
      <c r="F30" s="2"/>
      <c r="G30" s="2"/>
      <c r="H30" s="2">
        <v>6784.9478520000002</v>
      </c>
      <c r="I30" s="2"/>
      <c r="J30" s="2"/>
      <c r="K30" s="2">
        <v>45.657116551058699</v>
      </c>
      <c r="L30" s="2"/>
      <c r="M30" s="2"/>
    </row>
    <row r="31" spans="1:13" x14ac:dyDescent="0.45">
      <c r="A31">
        <v>2015</v>
      </c>
      <c r="B31" s="2">
        <v>11334.559433</v>
      </c>
      <c r="C31" s="2">
        <v>11755.3</v>
      </c>
      <c r="D31" s="2">
        <f>100*(C31-B31)/B31</f>
        <v>3.7120151823019594</v>
      </c>
      <c r="E31" s="2">
        <v>75.316058719518907</v>
      </c>
      <c r="F31" s="2">
        <v>78.111802253898901</v>
      </c>
      <c r="G31" s="2">
        <v>3.71201518230197</v>
      </c>
      <c r="H31" s="2">
        <v>7112.2229589999997</v>
      </c>
      <c r="I31" s="2">
        <v>7667.02</v>
      </c>
      <c r="J31" s="2">
        <f>100*(I31-H31)/H31</f>
        <v>7.8006137349497111</v>
      </c>
      <c r="K31" s="2">
        <v>47.259410934561203</v>
      </c>
      <c r="L31" s="2">
        <v>50.945935034978902</v>
      </c>
      <c r="M31" s="2">
        <v>7.8006137349496996</v>
      </c>
    </row>
    <row r="33" spans="1:1" x14ac:dyDescent="0.45">
      <c r="A33" t="s">
        <v>8</v>
      </c>
    </row>
    <row r="34" spans="1:1" x14ac:dyDescent="0.45">
      <c r="A34" t="s">
        <v>9</v>
      </c>
    </row>
    <row r="36" spans="1:1" x14ac:dyDescent="0.45">
      <c r="A36" t="s">
        <v>10</v>
      </c>
    </row>
  </sheetData>
  <mergeCells count="2">
    <mergeCell ref="B1:G1"/>
    <mergeCell ref="H1:M1"/>
  </mergeCells>
  <pageMargins left="0.7" right="0.7" top="0.75" bottom="0.75" header="0.51180555555555496" footer="0.51180555555555496"/>
  <pageSetup scale="88" firstPageNumber="0" orientation="landscape"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66"/>
  <sheetViews>
    <sheetView zoomScale="85" zoomScaleNormal="85" workbookViewId="0">
      <selection activeCell="D3" sqref="D3:D4"/>
    </sheetView>
  </sheetViews>
  <sheetFormatPr defaultRowHeight="14.25" x14ac:dyDescent="0.45"/>
  <cols>
    <col min="1" max="6" width="8.3984375"/>
    <col min="7" max="7" width="13.86328125"/>
    <col min="8" max="8" width="8.3984375"/>
    <col min="9" max="9" width="28.86328125"/>
    <col min="10" max="10" width="29"/>
    <col min="11" max="11" width="15.1328125"/>
    <col min="12" max="12" width="15.59765625"/>
    <col min="13" max="13" width="17" bestFit="1" customWidth="1"/>
    <col min="14" max="15" width="8.3984375"/>
    <col min="16" max="16" width="17.1328125" bestFit="1" customWidth="1"/>
    <col min="17" max="17" width="17" bestFit="1" customWidth="1"/>
    <col min="18" max="1025" width="8.3984375"/>
  </cols>
  <sheetData>
    <row r="1" spans="1:11" x14ac:dyDescent="0.45">
      <c r="A1" s="92" t="s">
        <v>12</v>
      </c>
      <c r="B1" s="92"/>
      <c r="C1" s="92"/>
      <c r="D1" s="92"/>
      <c r="E1" s="92"/>
      <c r="F1" s="92"/>
      <c r="G1" s="92"/>
      <c r="H1" s="92"/>
      <c r="I1" s="92"/>
      <c r="J1" s="92"/>
      <c r="K1" s="92"/>
    </row>
    <row r="2" spans="1:11" x14ac:dyDescent="0.45">
      <c r="A2" t="s">
        <v>48</v>
      </c>
      <c r="B2" t="s">
        <v>2</v>
      </c>
      <c r="C2" t="s">
        <v>3</v>
      </c>
      <c r="D2" t="s">
        <v>4</v>
      </c>
      <c r="E2" s="1" t="s">
        <v>5</v>
      </c>
      <c r="G2" t="s">
        <v>48</v>
      </c>
      <c r="H2" t="s">
        <v>2</v>
      </c>
      <c r="I2" s="22" t="s">
        <v>3</v>
      </c>
      <c r="J2" s="22" t="s">
        <v>4</v>
      </c>
      <c r="K2" s="1" t="s">
        <v>5</v>
      </c>
    </row>
    <row r="3" spans="1:11" x14ac:dyDescent="0.45">
      <c r="A3" t="s">
        <v>49</v>
      </c>
      <c r="B3">
        <v>1988</v>
      </c>
      <c r="C3" s="2">
        <v>-0.21722076399422099</v>
      </c>
      <c r="D3" s="2">
        <v>-49.172577941780801</v>
      </c>
      <c r="E3" s="2">
        <f t="shared" ref="E3:E34" si="0">100*(D3-C3)/C3</f>
        <v>22537.144367602446</v>
      </c>
      <c r="G3" t="s">
        <v>50</v>
      </c>
      <c r="H3">
        <v>1988</v>
      </c>
      <c r="I3" s="2">
        <v>2.56023925292524</v>
      </c>
      <c r="J3" s="2">
        <v>-5.0413161737966998</v>
      </c>
      <c r="K3" s="2"/>
    </row>
    <row r="4" spans="1:11" x14ac:dyDescent="0.45">
      <c r="A4" t="s">
        <v>51</v>
      </c>
      <c r="B4">
        <v>1988</v>
      </c>
      <c r="C4" s="2">
        <v>5.0485731388627704</v>
      </c>
      <c r="D4" s="2">
        <v>8.0202848421287101</v>
      </c>
      <c r="E4" s="2">
        <f t="shared" si="0"/>
        <v>58.862407684864017</v>
      </c>
      <c r="G4" t="s">
        <v>52</v>
      </c>
      <c r="H4">
        <v>1988</v>
      </c>
      <c r="I4" s="2">
        <v>13.2485988252255</v>
      </c>
      <c r="J4" s="2">
        <v>65.180865865035997</v>
      </c>
      <c r="K4" s="2"/>
    </row>
    <row r="5" spans="1:11" x14ac:dyDescent="0.45">
      <c r="A5" t="s">
        <v>53</v>
      </c>
      <c r="B5">
        <v>1988</v>
      </c>
      <c r="C5" s="2">
        <v>6.6072801700388899</v>
      </c>
      <c r="D5" s="2">
        <v>11.7479580968372</v>
      </c>
      <c r="E5" s="2">
        <f t="shared" si="0"/>
        <v>77.80323816309506</v>
      </c>
      <c r="G5" t="s">
        <v>50</v>
      </c>
      <c r="H5">
        <v>1991</v>
      </c>
      <c r="I5" s="2">
        <v>2.9645964020722699</v>
      </c>
      <c r="J5" s="2">
        <v>-8.5175731202718499</v>
      </c>
      <c r="K5" s="2"/>
    </row>
    <row r="6" spans="1:11" x14ac:dyDescent="0.45">
      <c r="A6" t="s">
        <v>54</v>
      </c>
      <c r="B6">
        <v>1988</v>
      </c>
      <c r="C6" s="2">
        <v>8.8381698753811992</v>
      </c>
      <c r="D6" s="2">
        <v>19.146711218833801</v>
      </c>
      <c r="E6" s="2">
        <f t="shared" si="0"/>
        <v>116.63660564125537</v>
      </c>
      <c r="G6" t="s">
        <v>52</v>
      </c>
      <c r="H6">
        <v>1991</v>
      </c>
      <c r="I6" s="2">
        <v>13.520531056591</v>
      </c>
      <c r="J6" s="2">
        <v>75.607733218304304</v>
      </c>
      <c r="K6" s="2"/>
    </row>
    <row r="7" spans="1:11" x14ac:dyDescent="0.45">
      <c r="A7" t="s">
        <v>55</v>
      </c>
      <c r="B7">
        <v>1988</v>
      </c>
      <c r="C7" s="2">
        <v>21.776780505731701</v>
      </c>
      <c r="D7" s="2">
        <v>60.8314329717536</v>
      </c>
      <c r="E7" s="2">
        <f t="shared" si="0"/>
        <v>179.34080042613564</v>
      </c>
      <c r="G7" t="s">
        <v>50</v>
      </c>
      <c r="H7">
        <v>1994</v>
      </c>
      <c r="I7" s="2">
        <v>3.7298389583139899</v>
      </c>
      <c r="J7" s="2">
        <v>3.7586530177095798</v>
      </c>
      <c r="K7" s="2"/>
    </row>
    <row r="8" spans="1:11" x14ac:dyDescent="0.45">
      <c r="A8" t="s">
        <v>56</v>
      </c>
      <c r="B8">
        <v>1988</v>
      </c>
      <c r="C8" s="2">
        <v>70.6893407529424</v>
      </c>
      <c r="D8" s="2">
        <v>699.48576668481303</v>
      </c>
      <c r="E8" s="2">
        <f t="shared" si="0"/>
        <v>889.52085170733108</v>
      </c>
      <c r="G8" t="s">
        <v>52</v>
      </c>
      <c r="H8">
        <v>1994</v>
      </c>
      <c r="I8" s="2">
        <v>14.6642785815195</v>
      </c>
      <c r="J8" s="2">
        <v>72.079578849203202</v>
      </c>
      <c r="K8" s="2"/>
    </row>
    <row r="9" spans="1:11" x14ac:dyDescent="0.45">
      <c r="A9" t="s">
        <v>49</v>
      </c>
      <c r="B9">
        <v>1991</v>
      </c>
      <c r="C9" s="2">
        <v>0.499276767116622</v>
      </c>
      <c r="D9" s="2">
        <v>-19.9051438318977</v>
      </c>
      <c r="E9" s="2">
        <f t="shared" si="0"/>
        <v>-4086.7955296322089</v>
      </c>
      <c r="G9" t="s">
        <v>50</v>
      </c>
      <c r="H9">
        <v>1997</v>
      </c>
      <c r="I9" s="2">
        <v>4.3364448079408504</v>
      </c>
      <c r="J9" s="2">
        <v>31.476568460949</v>
      </c>
      <c r="K9" s="2"/>
    </row>
    <row r="10" spans="1:11" x14ac:dyDescent="0.45">
      <c r="A10" t="s">
        <v>51</v>
      </c>
      <c r="B10">
        <v>1991</v>
      </c>
      <c r="C10" s="2">
        <v>5.3103329486204496</v>
      </c>
      <c r="D10" s="2">
        <v>2.5701561642859598</v>
      </c>
      <c r="E10" s="2">
        <f t="shared" si="0"/>
        <v>-51.600847081468771</v>
      </c>
      <c r="G10" t="s">
        <v>52</v>
      </c>
      <c r="H10">
        <v>1997</v>
      </c>
      <c r="I10" s="2">
        <v>15.485162984840599</v>
      </c>
      <c r="J10" s="2">
        <v>93.426307856980699</v>
      </c>
      <c r="K10" s="2"/>
    </row>
    <row r="11" spans="1:11" x14ac:dyDescent="0.45">
      <c r="A11" t="s">
        <v>53</v>
      </c>
      <c r="B11">
        <v>1991</v>
      </c>
      <c r="C11" s="2">
        <v>6.5360279829659698</v>
      </c>
      <c r="D11" s="2">
        <v>12.6301407078455</v>
      </c>
      <c r="E11" s="2">
        <f t="shared" si="0"/>
        <v>93.238779588487873</v>
      </c>
      <c r="G11" t="s">
        <v>50</v>
      </c>
      <c r="H11">
        <v>2000</v>
      </c>
      <c r="I11" s="2">
        <v>4.5786211090237501</v>
      </c>
      <c r="J11" s="2">
        <v>16.232897556850599</v>
      </c>
      <c r="K11" s="2"/>
    </row>
    <row r="12" spans="1:11" x14ac:dyDescent="0.45">
      <c r="A12" t="s">
        <v>54</v>
      </c>
      <c r="B12">
        <v>1991</v>
      </c>
      <c r="C12" s="2">
        <v>8.7169701995570605</v>
      </c>
      <c r="D12" s="2">
        <v>19.097617090195001</v>
      </c>
      <c r="E12" s="2">
        <f t="shared" si="0"/>
        <v>119.08549247037024</v>
      </c>
      <c r="G12" t="s">
        <v>52</v>
      </c>
      <c r="H12">
        <v>2000</v>
      </c>
      <c r="I12" s="2">
        <v>17.323495498078099</v>
      </c>
      <c r="J12" s="2">
        <v>111.468495667753</v>
      </c>
      <c r="K12" s="2"/>
    </row>
    <row r="13" spans="1:11" x14ac:dyDescent="0.45">
      <c r="A13" t="s">
        <v>55</v>
      </c>
      <c r="B13">
        <v>1991</v>
      </c>
      <c r="C13" s="2">
        <v>22.463184676670998</v>
      </c>
      <c r="D13" s="2">
        <v>57.505141788680298</v>
      </c>
      <c r="E13" s="2">
        <f t="shared" si="0"/>
        <v>155.99728006689054</v>
      </c>
      <c r="G13" t="s">
        <v>50</v>
      </c>
      <c r="H13">
        <v>2003</v>
      </c>
      <c r="I13" s="2">
        <v>4.9131252643914296</v>
      </c>
      <c r="J13" s="2">
        <v>10.7601566665095</v>
      </c>
      <c r="K13" s="2"/>
    </row>
    <row r="14" spans="1:11" x14ac:dyDescent="0.45">
      <c r="A14" t="s">
        <v>56</v>
      </c>
      <c r="B14">
        <v>1991</v>
      </c>
      <c r="C14" s="2">
        <v>80.479964371746107</v>
      </c>
      <c r="D14" s="2">
        <v>737.90718686862499</v>
      </c>
      <c r="E14" s="2">
        <f t="shared" si="0"/>
        <v>816.88309336240241</v>
      </c>
      <c r="G14" t="s">
        <v>52</v>
      </c>
      <c r="H14">
        <v>2003</v>
      </c>
      <c r="I14" s="2">
        <v>17.317240592451601</v>
      </c>
      <c r="J14" s="2">
        <v>76.854251896624405</v>
      </c>
      <c r="K14" s="2"/>
    </row>
    <row r="15" spans="1:11" x14ac:dyDescent="0.45">
      <c r="A15" t="s">
        <v>49</v>
      </c>
      <c r="B15">
        <v>1994</v>
      </c>
      <c r="C15" s="2">
        <v>1.3827644617525501</v>
      </c>
      <c r="D15" s="2">
        <v>-4.4983751676393302</v>
      </c>
      <c r="E15" s="2">
        <f t="shared" si="0"/>
        <v>-425.31752818827709</v>
      </c>
      <c r="G15" t="s">
        <v>50</v>
      </c>
      <c r="H15">
        <v>2006</v>
      </c>
      <c r="I15" s="2">
        <v>5.17340057214036</v>
      </c>
      <c r="J15" s="2">
        <v>24.9618677365923</v>
      </c>
      <c r="K15" s="2"/>
    </row>
    <row r="16" spans="1:11" x14ac:dyDescent="0.45">
      <c r="A16" t="s">
        <v>51</v>
      </c>
      <c r="B16">
        <v>1994</v>
      </c>
      <c r="C16" s="2">
        <v>5.9422687574856496</v>
      </c>
      <c r="D16" s="2">
        <v>9.9367604787739108</v>
      </c>
      <c r="E16" s="2">
        <f t="shared" si="0"/>
        <v>67.22166035079249</v>
      </c>
      <c r="G16" t="s">
        <v>52</v>
      </c>
      <c r="H16">
        <v>2006</v>
      </c>
      <c r="I16" s="2">
        <v>19.4092394988396</v>
      </c>
      <c r="J16" s="2">
        <v>78.025623066368794</v>
      </c>
      <c r="K16" s="2"/>
    </row>
    <row r="17" spans="1:17" x14ac:dyDescent="0.45">
      <c r="A17" t="s">
        <v>53</v>
      </c>
      <c r="B17">
        <v>1994</v>
      </c>
      <c r="C17" s="2">
        <v>6.8748430246984196</v>
      </c>
      <c r="D17" s="2">
        <v>11.5794234038121</v>
      </c>
      <c r="E17" s="2">
        <f t="shared" si="0"/>
        <v>68.431822547978214</v>
      </c>
      <c r="G17" t="s">
        <v>50</v>
      </c>
      <c r="H17">
        <v>2009</v>
      </c>
      <c r="I17" s="2">
        <v>4.2151774521782599</v>
      </c>
      <c r="J17" s="2">
        <v>13.7918801465553</v>
      </c>
      <c r="K17" s="2"/>
    </row>
    <row r="18" spans="1:17" x14ac:dyDescent="0.45">
      <c r="A18" t="s">
        <v>54</v>
      </c>
      <c r="B18">
        <v>1994</v>
      </c>
      <c r="C18" s="2">
        <v>9.5790004141361198</v>
      </c>
      <c r="D18" s="2">
        <v>16.535395324906101</v>
      </c>
      <c r="E18" s="2">
        <f t="shared" si="0"/>
        <v>72.621302954577047</v>
      </c>
      <c r="G18" t="s">
        <v>52</v>
      </c>
      <c r="H18">
        <v>2009</v>
      </c>
      <c r="I18" s="2">
        <v>17.6106243698414</v>
      </c>
      <c r="J18" s="2">
        <v>76.459292117957204</v>
      </c>
      <c r="K18" s="2"/>
    </row>
    <row r="19" spans="1:17" x14ac:dyDescent="0.45">
      <c r="A19" t="s">
        <v>55</v>
      </c>
      <c r="B19">
        <v>1994</v>
      </c>
      <c r="C19" s="2">
        <v>24.308916441576301</v>
      </c>
      <c r="D19" s="2">
        <v>52.760589143238001</v>
      </c>
      <c r="E19" s="2">
        <f t="shared" si="0"/>
        <v>117.04212637384327</v>
      </c>
      <c r="G19" t="s">
        <v>50</v>
      </c>
      <c r="H19">
        <v>2012</v>
      </c>
      <c r="I19" s="2">
        <v>6.0562094506758601</v>
      </c>
      <c r="J19" s="2">
        <v>18.000024331566401</v>
      </c>
      <c r="K19" s="2"/>
    </row>
    <row r="20" spans="1:17" x14ac:dyDescent="0.45">
      <c r="A20" t="s">
        <v>56</v>
      </c>
      <c r="B20">
        <v>1994</v>
      </c>
      <c r="C20" s="2">
        <v>90.833018742286995</v>
      </c>
      <c r="D20" s="2">
        <v>655.90661179552205</v>
      </c>
      <c r="E20" s="2">
        <f t="shared" si="0"/>
        <v>622.10152307771648</v>
      </c>
      <c r="G20" t="s">
        <v>52</v>
      </c>
      <c r="H20">
        <v>2012</v>
      </c>
      <c r="I20" s="2">
        <v>20.177247392014699</v>
      </c>
      <c r="J20" s="2">
        <v>85.093362980818796</v>
      </c>
      <c r="K20" s="2"/>
    </row>
    <row r="21" spans="1:17" x14ac:dyDescent="0.45">
      <c r="A21" t="s">
        <v>49</v>
      </c>
      <c r="B21">
        <v>1997</v>
      </c>
      <c r="C21" s="2">
        <v>2.10799057392639</v>
      </c>
      <c r="D21" s="2">
        <v>22.627903921698898</v>
      </c>
      <c r="E21" s="2">
        <f t="shared" si="0"/>
        <v>973.43477725100365</v>
      </c>
      <c r="G21" t="s">
        <v>50</v>
      </c>
      <c r="H21">
        <v>2015</v>
      </c>
      <c r="I21" s="2">
        <v>5.9584041751496599</v>
      </c>
      <c r="J21" s="2">
        <v>28.487887632792699</v>
      </c>
      <c r="K21" s="2"/>
    </row>
    <row r="22" spans="1:17" x14ac:dyDescent="0.45">
      <c r="A22" t="s">
        <v>51</v>
      </c>
      <c r="B22">
        <v>1997</v>
      </c>
      <c r="C22" s="2">
        <v>6.5350401920327199</v>
      </c>
      <c r="D22" s="2">
        <v>38.2729798174351</v>
      </c>
      <c r="E22" s="2">
        <f t="shared" si="0"/>
        <v>485.65791017010275</v>
      </c>
      <c r="G22" t="s">
        <v>52</v>
      </c>
      <c r="H22">
        <v>2015</v>
      </c>
      <c r="I22" s="2">
        <v>20.754110186315799</v>
      </c>
      <c r="J22" s="2">
        <v>113.69076102586</v>
      </c>
      <c r="K22" s="2"/>
    </row>
    <row r="23" spans="1:17" x14ac:dyDescent="0.45">
      <c r="A23" t="s">
        <v>53</v>
      </c>
      <c r="B23">
        <v>1997</v>
      </c>
      <c r="C23" s="2">
        <v>7.4876119443121896</v>
      </c>
      <c r="D23" s="2">
        <v>32.7589286653687</v>
      </c>
      <c r="E23" s="2">
        <f t="shared" si="0"/>
        <v>337.50836593839972</v>
      </c>
      <c r="K23" s="2"/>
    </row>
    <row r="24" spans="1:17" x14ac:dyDescent="0.45">
      <c r="A24" t="s">
        <v>54</v>
      </c>
      <c r="B24">
        <v>1997</v>
      </c>
      <c r="C24" s="2">
        <v>10.1814618639229</v>
      </c>
      <c r="D24" s="2">
        <v>42.599679724927398</v>
      </c>
      <c r="E24" s="2">
        <f t="shared" si="0"/>
        <v>318.40435385684208</v>
      </c>
      <c r="K24" s="2"/>
    </row>
    <row r="25" spans="1:17" x14ac:dyDescent="0.45">
      <c r="A25" t="s">
        <v>55</v>
      </c>
      <c r="B25">
        <v>1997</v>
      </c>
      <c r="C25" s="2">
        <v>26.8459867249158</v>
      </c>
      <c r="D25" s="2">
        <v>102.583330795997</v>
      </c>
      <c r="E25" s="2">
        <f t="shared" si="0"/>
        <v>282.1179375790619</v>
      </c>
      <c r="K25" s="2"/>
    </row>
    <row r="26" spans="1:17" x14ac:dyDescent="0.45">
      <c r="A26" t="s">
        <v>56</v>
      </c>
      <c r="B26">
        <v>1997</v>
      </c>
      <c r="C26" s="2">
        <v>84.921647303992003</v>
      </c>
      <c r="D26" s="2">
        <v>1019.7215230416</v>
      </c>
      <c r="E26" s="2">
        <f t="shared" si="0"/>
        <v>1100.7792540709049</v>
      </c>
      <c r="K26" s="2"/>
    </row>
    <row r="27" spans="1:17" x14ac:dyDescent="0.45">
      <c r="A27" t="s">
        <v>49</v>
      </c>
      <c r="B27">
        <v>2000</v>
      </c>
      <c r="C27" s="2">
        <v>2.4067011505434799</v>
      </c>
      <c r="D27" s="2">
        <v>16.8432827602945</v>
      </c>
      <c r="E27" s="2">
        <f t="shared" si="0"/>
        <v>599.84936669394779</v>
      </c>
      <c r="I27" t="s">
        <v>57</v>
      </c>
      <c r="J27" t="s">
        <v>58</v>
      </c>
      <c r="K27" t="s">
        <v>59</v>
      </c>
      <c r="L27" s="2" t="s">
        <v>60</v>
      </c>
      <c r="M27" s="2" t="s">
        <v>61</v>
      </c>
      <c r="P27" t="s">
        <v>191</v>
      </c>
      <c r="Q27" t="s">
        <v>192</v>
      </c>
    </row>
    <row r="28" spans="1:17" x14ac:dyDescent="0.45">
      <c r="A28" t="s">
        <v>51</v>
      </c>
      <c r="B28">
        <v>2000</v>
      </c>
      <c r="C28" s="2">
        <v>6.9559394622570299</v>
      </c>
      <c r="D28" s="2">
        <v>16.014723013931999</v>
      </c>
      <c r="E28" s="2">
        <f t="shared" si="0"/>
        <v>130.23091418244775</v>
      </c>
      <c r="H28">
        <v>1</v>
      </c>
      <c r="I28">
        <v>1988</v>
      </c>
      <c r="J28" s="2">
        <f>I3</f>
        <v>2.56023925292524</v>
      </c>
      <c r="K28" s="2">
        <f t="shared" ref="K28:K37" ca="1" si="1">OFFSET(I$4,2*(H28-H$28),0)</f>
        <v>13.2485988252255</v>
      </c>
      <c r="L28" s="2">
        <f t="shared" ref="L28:L37" ca="1" si="2">OFFSET(J$3,2*(H28-H$28),0)</f>
        <v>-5.0413161737966998</v>
      </c>
      <c r="M28" s="2">
        <f ca="1">OFFSET(J$4,2*(H28-H$28),0)</f>
        <v>65.180865865035997</v>
      </c>
      <c r="N28">
        <f ca="1">L28/J28</f>
        <v>-1.9690801037585326</v>
      </c>
      <c r="O28">
        <f ca="1">M28/K28</f>
        <v>4.9198308987159312</v>
      </c>
      <c r="P28">
        <f ca="1">100*(L28-J28)/J28</f>
        <v>-296.90801037585328</v>
      </c>
      <c r="Q28">
        <f ca="1">100*(M28-K28)/K28</f>
        <v>391.98308987159305</v>
      </c>
    </row>
    <row r="29" spans="1:17" x14ac:dyDescent="0.45">
      <c r="A29" t="s">
        <v>53</v>
      </c>
      <c r="B29">
        <v>2000</v>
      </c>
      <c r="C29" s="2">
        <v>8.2609330275130208</v>
      </c>
      <c r="D29" s="2">
        <v>26.409909599464498</v>
      </c>
      <c r="E29" s="2">
        <f t="shared" si="0"/>
        <v>219.69644968076062</v>
      </c>
      <c r="H29">
        <v>2</v>
      </c>
      <c r="I29">
        <f t="shared" ref="I29:I37" si="3">I28+3</f>
        <v>1991</v>
      </c>
      <c r="J29" s="2">
        <f t="shared" ref="J29:J37" ca="1" si="4">OFFSET(I$3,2*(H29-H$28),0)</f>
        <v>2.9645964020722699</v>
      </c>
      <c r="K29" s="2">
        <f t="shared" ca="1" si="1"/>
        <v>13.520531056591</v>
      </c>
      <c r="L29" s="2">
        <f t="shared" ca="1" si="2"/>
        <v>-8.5175731202718499</v>
      </c>
      <c r="M29" s="2">
        <f t="shared" ref="M29:M37" ca="1" si="5">OFFSET(J$4,2*(H29-H$28),0)</f>
        <v>75.607733218304304</v>
      </c>
      <c r="N29">
        <f t="shared" ref="N29:N37" ca="1" si="6">L29/J29</f>
        <v>-2.873097030785714</v>
      </c>
      <c r="O29">
        <f t="shared" ref="O29:O37" ca="1" si="7">M29/K29</f>
        <v>5.5920683072168957</v>
      </c>
      <c r="P29">
        <f t="shared" ref="P29:Q37" ca="1" si="8">100*(L29-J29)/J29</f>
        <v>-387.30970307857137</v>
      </c>
      <c r="Q29">
        <f t="shared" ca="1" si="8"/>
        <v>459.20683072168958</v>
      </c>
    </row>
    <row r="30" spans="1:17" x14ac:dyDescent="0.45">
      <c r="A30" t="s">
        <v>54</v>
      </c>
      <c r="B30">
        <v>2000</v>
      </c>
      <c r="C30" s="2">
        <v>11.1567176170082</v>
      </c>
      <c r="D30" s="2">
        <v>35.481292318171597</v>
      </c>
      <c r="E30" s="2">
        <f t="shared" si="0"/>
        <v>218.02626485841193</v>
      </c>
      <c r="H30">
        <f t="shared" ref="H30:H37" si="9">H29+1</f>
        <v>3</v>
      </c>
      <c r="I30">
        <f t="shared" si="3"/>
        <v>1994</v>
      </c>
      <c r="J30" s="2">
        <f t="shared" ca="1" si="4"/>
        <v>3.7298389583139899</v>
      </c>
      <c r="K30" s="2">
        <f t="shared" ca="1" si="1"/>
        <v>14.6642785815195</v>
      </c>
      <c r="L30" s="2">
        <f t="shared" ca="1" si="2"/>
        <v>3.7586530177095798</v>
      </c>
      <c r="M30" s="2">
        <f t="shared" ca="1" si="5"/>
        <v>72.079578849203202</v>
      </c>
      <c r="N30">
        <f t="shared" ca="1" si="6"/>
        <v>1.0077252824364875</v>
      </c>
      <c r="O30">
        <f t="shared" ca="1" si="7"/>
        <v>4.9153170712428169</v>
      </c>
      <c r="P30">
        <f t="shared" ca="1" si="8"/>
        <v>0.77252824364874995</v>
      </c>
      <c r="Q30">
        <f t="shared" ca="1" si="8"/>
        <v>391.53170712428175</v>
      </c>
    </row>
    <row r="31" spans="1:17" x14ac:dyDescent="0.45">
      <c r="A31" t="s">
        <v>55</v>
      </c>
      <c r="B31">
        <v>2000</v>
      </c>
      <c r="C31" s="2">
        <v>30.937610062965</v>
      </c>
      <c r="D31" s="2">
        <v>140.44862729926101</v>
      </c>
      <c r="E31" s="2">
        <f t="shared" si="0"/>
        <v>353.97374591449187</v>
      </c>
      <c r="H31">
        <f t="shared" si="9"/>
        <v>4</v>
      </c>
      <c r="I31">
        <f t="shared" si="3"/>
        <v>1997</v>
      </c>
      <c r="J31" s="2">
        <f t="shared" ca="1" si="4"/>
        <v>4.3364448079408504</v>
      </c>
      <c r="K31" s="2">
        <f t="shared" ca="1" si="1"/>
        <v>15.485162984840599</v>
      </c>
      <c r="L31" s="2">
        <f t="shared" ca="1" si="2"/>
        <v>31.476568460949</v>
      </c>
      <c r="M31" s="2">
        <f t="shared" ca="1" si="5"/>
        <v>93.426307856980699</v>
      </c>
      <c r="N31">
        <f t="shared" ca="1" si="6"/>
        <v>7.258611571236754</v>
      </c>
      <c r="O31">
        <f t="shared" ca="1" si="7"/>
        <v>6.0332789489165588</v>
      </c>
      <c r="P31">
        <f t="shared" ca="1" si="8"/>
        <v>625.86115712367541</v>
      </c>
      <c r="Q31">
        <f t="shared" ca="1" si="8"/>
        <v>503.32789489165594</v>
      </c>
    </row>
    <row r="32" spans="1:17" x14ac:dyDescent="0.45">
      <c r="A32" t="s">
        <v>56</v>
      </c>
      <c r="B32">
        <v>2000</v>
      </c>
      <c r="C32" s="2">
        <v>97.262021293424098</v>
      </c>
      <c r="D32" s="2">
        <v>1656.3037166685001</v>
      </c>
      <c r="E32" s="2">
        <f t="shared" si="0"/>
        <v>1602.9295655615613</v>
      </c>
      <c r="H32">
        <f t="shared" si="9"/>
        <v>5</v>
      </c>
      <c r="I32">
        <f t="shared" si="3"/>
        <v>2000</v>
      </c>
      <c r="J32" s="2">
        <f t="shared" ca="1" si="4"/>
        <v>4.5786211090237501</v>
      </c>
      <c r="K32" s="2">
        <f t="shared" ca="1" si="1"/>
        <v>17.323495498078099</v>
      </c>
      <c r="L32" s="2">
        <f t="shared" ca="1" si="2"/>
        <v>16.232897556850599</v>
      </c>
      <c r="M32" s="2">
        <f t="shared" ca="1" si="5"/>
        <v>111.468495667753</v>
      </c>
      <c r="N32">
        <f t="shared" ca="1" si="6"/>
        <v>3.5453681731511004</v>
      </c>
      <c r="O32">
        <f t="shared" ca="1" si="7"/>
        <v>6.4345267778156856</v>
      </c>
      <c r="P32">
        <f t="shared" ca="1" si="8"/>
        <v>254.53681731511006</v>
      </c>
      <c r="Q32">
        <f t="shared" ca="1" si="8"/>
        <v>543.45267778156847</v>
      </c>
    </row>
    <row r="33" spans="1:17" x14ac:dyDescent="0.45">
      <c r="A33" t="s">
        <v>49</v>
      </c>
      <c r="B33">
        <v>2003</v>
      </c>
      <c r="C33" s="2">
        <v>2.6935318937335602</v>
      </c>
      <c r="D33" s="2">
        <v>5.4235359918587296</v>
      </c>
      <c r="E33" s="2">
        <f t="shared" si="0"/>
        <v>101.35406617892518</v>
      </c>
      <c r="H33">
        <f t="shared" si="9"/>
        <v>6</v>
      </c>
      <c r="I33">
        <f t="shared" si="3"/>
        <v>2003</v>
      </c>
      <c r="J33" s="2">
        <f t="shared" ca="1" si="4"/>
        <v>4.9131252643914296</v>
      </c>
      <c r="K33" s="2">
        <f t="shared" ca="1" si="1"/>
        <v>17.317240592451601</v>
      </c>
      <c r="L33" s="2">
        <f t="shared" ca="1" si="2"/>
        <v>10.7601566665095</v>
      </c>
      <c r="M33" s="2">
        <f t="shared" ca="1" si="5"/>
        <v>76.854251896624405</v>
      </c>
      <c r="N33">
        <f t="shared" ca="1" si="6"/>
        <v>2.1900839257031075</v>
      </c>
      <c r="O33">
        <f t="shared" ca="1" si="7"/>
        <v>4.4380195266285289</v>
      </c>
      <c r="P33">
        <f t="shared" ca="1" si="8"/>
        <v>119.00839257031075</v>
      </c>
      <c r="Q33">
        <f t="shared" ca="1" si="8"/>
        <v>343.80195266285295</v>
      </c>
    </row>
    <row r="34" spans="1:17" x14ac:dyDescent="0.45">
      <c r="A34" t="s">
        <v>51</v>
      </c>
      <c r="B34">
        <v>2003</v>
      </c>
      <c r="C34" s="2">
        <v>7.5115273278604304</v>
      </c>
      <c r="D34" s="2">
        <v>12.5968479691741</v>
      </c>
      <c r="E34" s="2">
        <f t="shared" si="0"/>
        <v>67.700221530874231</v>
      </c>
      <c r="H34">
        <f t="shared" si="9"/>
        <v>7</v>
      </c>
      <c r="I34">
        <f t="shared" si="3"/>
        <v>2006</v>
      </c>
      <c r="J34" s="2">
        <f t="shared" ca="1" si="4"/>
        <v>5.17340057214036</v>
      </c>
      <c r="K34" s="2">
        <f t="shared" ca="1" si="1"/>
        <v>19.4092394988396</v>
      </c>
      <c r="L34" s="2">
        <f t="shared" ca="1" si="2"/>
        <v>24.9618677365923</v>
      </c>
      <c r="M34" s="2">
        <f t="shared" ca="1" si="5"/>
        <v>78.025623066368794</v>
      </c>
      <c r="N34">
        <f t="shared" ca="1" si="6"/>
        <v>4.8250405876197169</v>
      </c>
      <c r="O34">
        <f t="shared" ca="1" si="7"/>
        <v>4.0200247449692004</v>
      </c>
      <c r="P34">
        <f t="shared" ca="1" si="8"/>
        <v>382.50405876197163</v>
      </c>
      <c r="Q34">
        <f t="shared" ca="1" si="8"/>
        <v>302.00247449692006</v>
      </c>
    </row>
    <row r="35" spans="1:17" x14ac:dyDescent="0.45">
      <c r="A35" t="s">
        <v>53</v>
      </c>
      <c r="B35">
        <v>2003</v>
      </c>
      <c r="C35" s="2">
        <v>8.3540793689931991</v>
      </c>
      <c r="D35" s="2">
        <v>22.465956653071601</v>
      </c>
      <c r="E35" s="2">
        <f t="shared" ref="E35:E62" si="10">100*(D35-C35)/C35</f>
        <v>168.92199200854742</v>
      </c>
      <c r="H35">
        <f t="shared" si="9"/>
        <v>8</v>
      </c>
      <c r="I35">
        <f t="shared" si="3"/>
        <v>2009</v>
      </c>
      <c r="J35" s="2">
        <f t="shared" ca="1" si="4"/>
        <v>4.2151774521782599</v>
      </c>
      <c r="K35" s="2">
        <f t="shared" ca="1" si="1"/>
        <v>17.6106243698414</v>
      </c>
      <c r="L35" s="2">
        <f t="shared" ca="1" si="2"/>
        <v>13.7918801465553</v>
      </c>
      <c r="M35" s="2">
        <f t="shared" ca="1" si="5"/>
        <v>76.459292117957204</v>
      </c>
      <c r="N35">
        <f t="shared" ca="1" si="6"/>
        <v>3.2719571840156165</v>
      </c>
      <c r="O35">
        <f t="shared" ca="1" si="7"/>
        <v>4.3416570879165137</v>
      </c>
      <c r="P35">
        <f t="shared" ca="1" si="8"/>
        <v>227.19571840156166</v>
      </c>
      <c r="Q35">
        <f t="shared" ca="1" si="8"/>
        <v>334.16570879165141</v>
      </c>
    </row>
    <row r="36" spans="1:17" x14ac:dyDescent="0.45">
      <c r="A36" t="s">
        <v>54</v>
      </c>
      <c r="B36">
        <v>2003</v>
      </c>
      <c r="C36" s="2">
        <v>11.3324927936627</v>
      </c>
      <c r="D36" s="2">
        <v>46.922988735138297</v>
      </c>
      <c r="E36" s="2">
        <f t="shared" si="10"/>
        <v>314.05707984547172</v>
      </c>
      <c r="H36">
        <f t="shared" si="9"/>
        <v>9</v>
      </c>
      <c r="I36">
        <f t="shared" si="3"/>
        <v>2012</v>
      </c>
      <c r="J36" s="2">
        <f t="shared" ca="1" si="4"/>
        <v>6.0562094506758601</v>
      </c>
      <c r="K36" s="2">
        <f t="shared" ca="1" si="1"/>
        <v>20.177247392014699</v>
      </c>
      <c r="L36" s="2">
        <f t="shared" ca="1" si="2"/>
        <v>18.000024331566401</v>
      </c>
      <c r="M36" s="2">
        <f t="shared" ca="1" si="5"/>
        <v>85.093362980818796</v>
      </c>
      <c r="N36">
        <f t="shared" ca="1" si="6"/>
        <v>2.9721601404584241</v>
      </c>
      <c r="O36">
        <f t="shared" ca="1" si="7"/>
        <v>4.2172929402895241</v>
      </c>
      <c r="P36">
        <f t="shared" ca="1" si="8"/>
        <v>197.21601404584243</v>
      </c>
      <c r="Q36">
        <f t="shared" ca="1" si="8"/>
        <v>321.72929402895244</v>
      </c>
    </row>
    <row r="37" spans="1:17" x14ac:dyDescent="0.45">
      <c r="A37" t="s">
        <v>55</v>
      </c>
      <c r="B37">
        <v>2003</v>
      </c>
      <c r="C37" s="2">
        <v>31.1769117814884</v>
      </c>
      <c r="D37" s="2">
        <v>116.716772828156</v>
      </c>
      <c r="E37" s="2">
        <f t="shared" si="10"/>
        <v>274.36925647477932</v>
      </c>
      <c r="H37">
        <f t="shared" si="9"/>
        <v>10</v>
      </c>
      <c r="I37">
        <f t="shared" si="3"/>
        <v>2015</v>
      </c>
      <c r="J37" s="2">
        <f t="shared" ca="1" si="4"/>
        <v>5.9584041751496599</v>
      </c>
      <c r="K37" s="2">
        <f t="shared" ca="1" si="1"/>
        <v>20.754110186315799</v>
      </c>
      <c r="L37" s="2">
        <f t="shared" ca="1" si="2"/>
        <v>28.487887632792699</v>
      </c>
      <c r="M37" s="2">
        <f t="shared" ca="1" si="5"/>
        <v>113.69076102586</v>
      </c>
      <c r="N37">
        <f t="shared" ca="1" si="6"/>
        <v>4.7811270929899878</v>
      </c>
      <c r="O37">
        <f t="shared" ca="1" si="7"/>
        <v>5.4779877337657137</v>
      </c>
      <c r="P37">
        <f t="shared" ca="1" si="8"/>
        <v>378.11270929899871</v>
      </c>
      <c r="Q37">
        <f t="shared" ca="1" si="8"/>
        <v>447.79877337657138</v>
      </c>
    </row>
    <row r="38" spans="1:17" x14ac:dyDescent="0.45">
      <c r="A38" t="s">
        <v>56</v>
      </c>
      <c r="B38">
        <v>2003</v>
      </c>
      <c r="C38" s="2">
        <v>96.362946790431494</v>
      </c>
      <c r="D38" s="2">
        <v>1269.5025430871799</v>
      </c>
      <c r="E38" s="2">
        <f t="shared" si="10"/>
        <v>1217.4177268033038</v>
      </c>
      <c r="I38" s="2"/>
      <c r="J38" s="2"/>
      <c r="K38" s="2"/>
    </row>
    <row r="39" spans="1:17" x14ac:dyDescent="0.45">
      <c r="A39" t="s">
        <v>49</v>
      </c>
      <c r="B39">
        <v>2006</v>
      </c>
      <c r="C39" s="2">
        <v>2.9107025071295798</v>
      </c>
      <c r="D39" s="2">
        <v>9.1926670497665093</v>
      </c>
      <c r="E39" s="2">
        <f t="shared" si="10"/>
        <v>215.82296807212896</v>
      </c>
      <c r="I39" s="2"/>
      <c r="K39" s="2"/>
    </row>
    <row r="40" spans="1:17" x14ac:dyDescent="0.45">
      <c r="A40" t="s">
        <v>51</v>
      </c>
      <c r="B40">
        <v>2006</v>
      </c>
      <c r="C40" s="2">
        <v>8.0755543144177206</v>
      </c>
      <c r="D40" s="2">
        <v>34.453052011896503</v>
      </c>
      <c r="E40" s="2">
        <f t="shared" si="10"/>
        <v>326.63389620679806</v>
      </c>
      <c r="I40" s="2"/>
      <c r="K40" s="2"/>
    </row>
    <row r="41" spans="1:17" x14ac:dyDescent="0.45">
      <c r="A41" t="s">
        <v>53</v>
      </c>
      <c r="B41">
        <v>2006</v>
      </c>
      <c r="C41" s="2">
        <v>8.8128393533189193</v>
      </c>
      <c r="D41" s="2">
        <v>32.6147811832383</v>
      </c>
      <c r="E41" s="2">
        <f t="shared" si="10"/>
        <v>270.08255654808409</v>
      </c>
      <c r="I41" s="2"/>
      <c r="K41" s="2"/>
    </row>
    <row r="42" spans="1:17" x14ac:dyDescent="0.45">
      <c r="A42" t="s">
        <v>54</v>
      </c>
      <c r="B42">
        <v>2006</v>
      </c>
      <c r="C42" s="2">
        <v>13.389273185726701</v>
      </c>
      <c r="D42" s="2">
        <v>47.789756318738903</v>
      </c>
      <c r="E42" s="2">
        <f t="shared" si="10"/>
        <v>256.92569459023343</v>
      </c>
      <c r="I42" s="2"/>
      <c r="K42" s="2"/>
    </row>
    <row r="43" spans="1:17" x14ac:dyDescent="0.45">
      <c r="A43" t="s">
        <v>55</v>
      </c>
      <c r="B43">
        <v>2006</v>
      </c>
      <c r="C43" s="2">
        <v>33.234452308715397</v>
      </c>
      <c r="D43" s="2">
        <v>122.641566575209</v>
      </c>
      <c r="E43" s="2">
        <f t="shared" si="10"/>
        <v>269.01937012829154</v>
      </c>
      <c r="I43" s="2"/>
      <c r="K43" s="2"/>
    </row>
    <row r="44" spans="1:17" x14ac:dyDescent="0.45">
      <c r="A44" t="s">
        <v>56</v>
      </c>
      <c r="B44">
        <v>2006</v>
      </c>
      <c r="C44" s="2">
        <v>121.128886816074</v>
      </c>
      <c r="D44" s="2">
        <v>673.80611815439897</v>
      </c>
      <c r="E44" s="2">
        <f t="shared" si="10"/>
        <v>456.27203045094262</v>
      </c>
      <c r="I44" s="2"/>
      <c r="K44" s="2"/>
    </row>
    <row r="45" spans="1:17" x14ac:dyDescent="0.45">
      <c r="A45" t="s">
        <v>49</v>
      </c>
      <c r="B45">
        <v>2009</v>
      </c>
      <c r="C45" s="2">
        <v>1.6988870970446099</v>
      </c>
      <c r="D45" s="2">
        <v>4.9783232225844296</v>
      </c>
      <c r="E45" s="2">
        <f t="shared" si="10"/>
        <v>193.03437710750401</v>
      </c>
      <c r="I45" s="2"/>
      <c r="K45" s="2"/>
    </row>
    <row r="46" spans="1:17" x14ac:dyDescent="0.45">
      <c r="A46" t="s">
        <v>51</v>
      </c>
      <c r="B46">
        <v>2009</v>
      </c>
      <c r="C46" s="2">
        <v>7.7685332656873598</v>
      </c>
      <c r="D46" s="2">
        <v>21.357860418200701</v>
      </c>
      <c r="E46" s="2">
        <f t="shared" si="10"/>
        <v>174.92783628198777</v>
      </c>
      <c r="I46" s="2"/>
      <c r="K46" s="2"/>
    </row>
    <row r="47" spans="1:17" x14ac:dyDescent="0.45">
      <c r="A47" t="s">
        <v>53</v>
      </c>
      <c r="B47">
        <v>2009</v>
      </c>
      <c r="C47" s="2">
        <v>7.8572118878928201</v>
      </c>
      <c r="D47" s="2">
        <v>33.576819160312503</v>
      </c>
      <c r="E47" s="2">
        <f t="shared" si="10"/>
        <v>327.33758029423944</v>
      </c>
      <c r="I47" s="2"/>
      <c r="K47" s="2"/>
    </row>
    <row r="48" spans="1:17" x14ac:dyDescent="0.45">
      <c r="A48" t="s">
        <v>54</v>
      </c>
      <c r="B48">
        <v>2009</v>
      </c>
      <c r="C48" s="2">
        <v>11.9804344164918</v>
      </c>
      <c r="D48" s="2">
        <v>54.118394376669599</v>
      </c>
      <c r="E48" s="2">
        <f t="shared" si="10"/>
        <v>351.72313870498988</v>
      </c>
      <c r="I48" s="2"/>
      <c r="K48" s="2"/>
    </row>
    <row r="49" spans="1:11" x14ac:dyDescent="0.45">
      <c r="A49" t="s">
        <v>55</v>
      </c>
      <c r="B49">
        <v>2009</v>
      </c>
      <c r="C49" s="2">
        <v>29.355632658874001</v>
      </c>
      <c r="D49" s="2">
        <v>137.81487658582299</v>
      </c>
      <c r="E49" s="2">
        <f t="shared" si="10"/>
        <v>369.46655242384128</v>
      </c>
      <c r="I49" s="2"/>
      <c r="K49" s="2"/>
    </row>
    <row r="50" spans="1:11" x14ac:dyDescent="0.45">
      <c r="A50" t="s">
        <v>56</v>
      </c>
      <c r="B50">
        <v>2009</v>
      </c>
      <c r="C50" s="2">
        <v>118.69602825737201</v>
      </c>
      <c r="D50" s="2">
        <v>408.70702986736597</v>
      </c>
      <c r="E50" s="2">
        <f t="shared" si="10"/>
        <v>244.33083892340088</v>
      </c>
      <c r="I50" s="2"/>
      <c r="K50" s="2"/>
    </row>
    <row r="51" spans="1:11" x14ac:dyDescent="0.45">
      <c r="A51" t="s">
        <v>49</v>
      </c>
      <c r="B51">
        <v>2012</v>
      </c>
      <c r="C51" s="2">
        <v>4.23752097377292</v>
      </c>
      <c r="D51" s="2">
        <v>6.1913732894943099</v>
      </c>
      <c r="E51" s="2">
        <f t="shared" si="10"/>
        <v>46.108381004230345</v>
      </c>
      <c r="I51" s="2"/>
      <c r="K51" s="2"/>
    </row>
    <row r="52" spans="1:11" x14ac:dyDescent="0.45">
      <c r="A52" t="s">
        <v>51</v>
      </c>
      <c r="B52">
        <v>2012</v>
      </c>
      <c r="C52" s="2">
        <v>8.52225930686396</v>
      </c>
      <c r="D52" s="2">
        <v>25.058963974773299</v>
      </c>
      <c r="E52" s="2">
        <f t="shared" si="10"/>
        <v>194.04132252336447</v>
      </c>
      <c r="I52" s="2"/>
      <c r="K52" s="2"/>
    </row>
    <row r="53" spans="1:11" x14ac:dyDescent="0.45">
      <c r="A53" t="s">
        <v>53</v>
      </c>
      <c r="B53">
        <v>2012</v>
      </c>
      <c r="C53" s="2">
        <v>9.4481331364265895</v>
      </c>
      <c r="D53" s="2">
        <v>32.918831819139697</v>
      </c>
      <c r="E53" s="2">
        <f t="shared" si="10"/>
        <v>248.41625688172761</v>
      </c>
      <c r="I53" s="2"/>
      <c r="K53" s="2"/>
    </row>
    <row r="54" spans="1:11" x14ac:dyDescent="0.45">
      <c r="A54" t="s">
        <v>54</v>
      </c>
      <c r="B54">
        <v>2012</v>
      </c>
      <c r="C54" s="2">
        <v>14.4942037024004</v>
      </c>
      <c r="D54" s="2">
        <v>50.490998555033897</v>
      </c>
      <c r="E54" s="2">
        <f t="shared" si="10"/>
        <v>248.35303540457372</v>
      </c>
      <c r="I54" s="2"/>
      <c r="K54" s="2"/>
    </row>
    <row r="55" spans="1:11" x14ac:dyDescent="0.45">
      <c r="A55" t="s">
        <v>55</v>
      </c>
      <c r="B55">
        <v>2012</v>
      </c>
      <c r="C55" s="2">
        <v>32.601893136181999</v>
      </c>
      <c r="D55" s="2">
        <v>161.09684970016301</v>
      </c>
      <c r="E55" s="2">
        <f t="shared" si="10"/>
        <v>394.13342049568178</v>
      </c>
      <c r="I55" s="2"/>
      <c r="K55" s="2"/>
    </row>
    <row r="56" spans="1:11" x14ac:dyDescent="0.45">
      <c r="A56" t="s">
        <v>56</v>
      </c>
      <c r="B56">
        <v>2012</v>
      </c>
      <c r="C56" s="2">
        <v>132.90010610683899</v>
      </c>
      <c r="D56" s="2">
        <v>543.32011105887102</v>
      </c>
      <c r="E56" s="2">
        <f t="shared" si="10"/>
        <v>308.81841781382292</v>
      </c>
      <c r="K56" s="2"/>
    </row>
    <row r="57" spans="1:11" x14ac:dyDescent="0.45">
      <c r="A57" t="s">
        <v>49</v>
      </c>
      <c r="B57">
        <v>2015</v>
      </c>
      <c r="C57" s="2">
        <v>4.2949389035542298</v>
      </c>
      <c r="D57" s="2">
        <v>14.2041239939314</v>
      </c>
      <c r="E57" s="2">
        <f t="shared" si="10"/>
        <v>230.71771945759073</v>
      </c>
      <c r="K57" s="2"/>
    </row>
    <row r="58" spans="1:11" x14ac:dyDescent="0.45">
      <c r="A58" t="s">
        <v>51</v>
      </c>
      <c r="B58">
        <v>2015</v>
      </c>
      <c r="C58" s="2">
        <v>8.2595109697819993</v>
      </c>
      <c r="D58" s="2">
        <v>36.875428602053503</v>
      </c>
      <c r="E58" s="2">
        <f t="shared" si="10"/>
        <v>346.46019282454915</v>
      </c>
      <c r="K58" s="2"/>
    </row>
    <row r="59" spans="1:11" x14ac:dyDescent="0.45">
      <c r="A59" t="s">
        <v>53</v>
      </c>
      <c r="B59">
        <v>2015</v>
      </c>
      <c r="C59" s="2">
        <v>9.5757537299646796</v>
      </c>
      <c r="D59" s="2">
        <v>48.477480751221499</v>
      </c>
      <c r="E59" s="2">
        <f t="shared" si="10"/>
        <v>406.25237572186717</v>
      </c>
      <c r="K59" s="2"/>
    </row>
    <row r="60" spans="1:11" x14ac:dyDescent="0.45">
      <c r="A60" t="s">
        <v>54</v>
      </c>
      <c r="B60">
        <v>2015</v>
      </c>
      <c r="C60" s="2">
        <v>15.400062527566</v>
      </c>
      <c r="D60" s="2">
        <v>69.4638310779617</v>
      </c>
      <c r="E60" s="2">
        <f t="shared" si="10"/>
        <v>351.06200675238784</v>
      </c>
      <c r="K60" s="2"/>
    </row>
    <row r="61" spans="1:11" x14ac:dyDescent="0.45">
      <c r="A61" t="s">
        <v>55</v>
      </c>
      <c r="B61">
        <v>2015</v>
      </c>
      <c r="C61" s="2">
        <v>33.386287347607599</v>
      </c>
      <c r="D61" s="2">
        <v>171.75032040066</v>
      </c>
      <c r="E61" s="2">
        <f t="shared" si="10"/>
        <v>414.43372128337984</v>
      </c>
      <c r="K61" s="2"/>
    </row>
    <row r="62" spans="1:11" x14ac:dyDescent="0.45">
      <c r="A62" t="s">
        <v>56</v>
      </c>
      <c r="B62">
        <v>2015</v>
      </c>
      <c r="C62" s="2">
        <v>135.82550547067399</v>
      </c>
      <c r="D62" s="2">
        <v>897.36802780016603</v>
      </c>
      <c r="E62" s="2">
        <f t="shared" si="10"/>
        <v>560.67711266049093</v>
      </c>
      <c r="K62" s="2"/>
    </row>
    <row r="63" spans="1:11" x14ac:dyDescent="0.45">
      <c r="C63" s="2"/>
      <c r="D63" s="2"/>
      <c r="E63" s="2"/>
    </row>
    <row r="65" spans="1:1" x14ac:dyDescent="0.45">
      <c r="A65" t="s">
        <v>33</v>
      </c>
    </row>
    <row r="66" spans="1:1" x14ac:dyDescent="0.45">
      <c r="A66" t="s">
        <v>210</v>
      </c>
    </row>
  </sheetData>
  <mergeCells count="1">
    <mergeCell ref="A1:K1"/>
  </mergeCells>
  <pageMargins left="0.7" right="0.7" top="0.75" bottom="0.75" header="0.51180555555555496" footer="0.51180555555555496"/>
  <pageSetup firstPageNumber="0" orientation="portrait" horizontalDpi="4294967295" verticalDpi="4294967295"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E66"/>
  <sheetViews>
    <sheetView topLeftCell="F1" zoomScale="85" zoomScaleNormal="85" workbookViewId="0">
      <selection activeCell="U20" sqref="G15:U20"/>
    </sheetView>
  </sheetViews>
  <sheetFormatPr defaultRowHeight="14.25" x14ac:dyDescent="0.45"/>
  <cols>
    <col min="1" max="1" width="13.59765625" bestFit="1" customWidth="1"/>
    <col min="3" max="3" width="10.3984375" bestFit="1" customWidth="1"/>
    <col min="4" max="4" width="9.86328125" bestFit="1" customWidth="1"/>
    <col min="5" max="5" width="12.59765625" bestFit="1" customWidth="1"/>
    <col min="6" max="6" width="13.59765625" bestFit="1" customWidth="1"/>
    <col min="8" max="9" width="9.86328125" bestFit="1" customWidth="1"/>
    <col min="10" max="10" width="12.59765625" bestFit="1" customWidth="1"/>
    <col min="11" max="11" width="13.59765625" bestFit="1" customWidth="1"/>
    <col min="13" max="14" width="9.86328125" bestFit="1" customWidth="1"/>
    <col min="15" max="15" width="12.59765625" bestFit="1" customWidth="1"/>
    <col min="16" max="18" width="12.59765625" customWidth="1"/>
    <col min="20" max="21" width="9.86328125" bestFit="1" customWidth="1"/>
    <col min="25" max="26" width="9.86328125" bestFit="1" customWidth="1"/>
    <col min="30" max="31" width="9.86328125" bestFit="1" customWidth="1"/>
    <col min="32" max="32" width="12.59765625" bestFit="1" customWidth="1"/>
    <col min="35" max="35" width="14" bestFit="1" customWidth="1"/>
    <col min="37" max="38" width="9.86328125" bestFit="1" customWidth="1"/>
    <col min="40" max="40" width="14" bestFit="1" customWidth="1"/>
  </cols>
  <sheetData>
    <row r="1" spans="1:83" x14ac:dyDescent="0.45">
      <c r="A1" s="99" t="s">
        <v>11</v>
      </c>
      <c r="B1" s="99"/>
      <c r="C1" s="99"/>
      <c r="D1" s="99"/>
      <c r="E1" s="99"/>
      <c r="F1" s="99"/>
      <c r="G1" s="99"/>
      <c r="H1" s="99"/>
      <c r="I1" s="99"/>
      <c r="J1" s="99"/>
      <c r="K1" s="99"/>
      <c r="L1" s="99"/>
      <c r="M1" s="99"/>
      <c r="N1" s="99"/>
      <c r="O1" s="99"/>
      <c r="P1" s="34"/>
      <c r="R1" s="99" t="s">
        <v>205</v>
      </c>
      <c r="S1" s="99"/>
      <c r="T1" s="99"/>
      <c r="U1" s="99"/>
      <c r="V1" s="99"/>
      <c r="W1" s="99"/>
      <c r="X1" s="99"/>
      <c r="Y1" s="99"/>
      <c r="Z1" s="99"/>
      <c r="AA1" s="99"/>
      <c r="AB1" s="99"/>
      <c r="AC1" s="99"/>
      <c r="AD1" s="99"/>
      <c r="AE1" s="99"/>
      <c r="AF1" s="99"/>
      <c r="AG1" s="34"/>
      <c r="AI1" s="99" t="s">
        <v>206</v>
      </c>
      <c r="AJ1" s="99"/>
      <c r="AK1" s="99"/>
      <c r="AL1" s="99"/>
      <c r="AM1" s="99"/>
      <c r="AN1" s="99"/>
      <c r="AO1" s="99"/>
      <c r="AP1" s="99"/>
      <c r="AQ1" s="99"/>
      <c r="AR1" s="99"/>
      <c r="AS1" s="99"/>
      <c r="AT1" s="99"/>
      <c r="AU1" s="99"/>
      <c r="AV1" s="99"/>
      <c r="AW1" s="99"/>
      <c r="AZ1" s="99" t="s">
        <v>209</v>
      </c>
      <c r="BA1" s="99"/>
      <c r="BB1" s="99"/>
      <c r="BC1" s="99"/>
      <c r="BD1" s="99"/>
      <c r="BE1" s="99"/>
      <c r="BF1" s="99"/>
      <c r="BG1" s="99"/>
      <c r="BH1" s="99"/>
      <c r="BI1" s="99"/>
      <c r="BJ1" s="99"/>
      <c r="BK1" s="99"/>
      <c r="BL1" s="99"/>
      <c r="BM1" s="99"/>
      <c r="BN1" s="99"/>
    </row>
    <row r="2" spans="1:83" x14ac:dyDescent="0.45">
      <c r="A2" s="99" t="s">
        <v>202</v>
      </c>
      <c r="B2" s="99"/>
      <c r="C2" s="99"/>
      <c r="D2" s="99"/>
      <c r="E2" s="99"/>
      <c r="F2" s="99" t="s">
        <v>203</v>
      </c>
      <c r="G2" s="99"/>
      <c r="H2" s="99"/>
      <c r="I2" s="99"/>
      <c r="J2" s="99"/>
      <c r="K2" s="99" t="s">
        <v>204</v>
      </c>
      <c r="L2" s="99"/>
      <c r="M2" s="99"/>
      <c r="N2" s="99"/>
      <c r="O2" s="99"/>
      <c r="P2" s="34"/>
      <c r="Q2" s="32"/>
      <c r="R2" s="99" t="s">
        <v>202</v>
      </c>
      <c r="S2" s="99"/>
      <c r="T2" s="99"/>
      <c r="U2" s="99"/>
      <c r="V2" s="99"/>
      <c r="W2" s="99" t="s">
        <v>203</v>
      </c>
      <c r="X2" s="99"/>
      <c r="Y2" s="99"/>
      <c r="Z2" s="99"/>
      <c r="AA2" s="99"/>
      <c r="AB2" s="99" t="s">
        <v>204</v>
      </c>
      <c r="AC2" s="99"/>
      <c r="AD2" s="99"/>
      <c r="AE2" s="99"/>
      <c r="AF2" s="99"/>
      <c r="AG2" s="34"/>
      <c r="AH2" s="34"/>
      <c r="AI2" s="99" t="s">
        <v>202</v>
      </c>
      <c r="AJ2" s="99"/>
      <c r="AK2" s="99"/>
      <c r="AL2" s="99"/>
      <c r="AM2" s="99"/>
      <c r="AN2" s="99" t="s">
        <v>203</v>
      </c>
      <c r="AO2" s="99"/>
      <c r="AP2" s="99"/>
      <c r="AQ2" s="99"/>
      <c r="AR2" s="99"/>
      <c r="AS2" s="99" t="s">
        <v>204</v>
      </c>
      <c r="AT2" s="99"/>
      <c r="AU2" s="99"/>
      <c r="AV2" s="99"/>
      <c r="AW2" s="99"/>
      <c r="AX2" s="34"/>
      <c r="AY2" s="34"/>
      <c r="AZ2" s="99" t="s">
        <v>202</v>
      </c>
      <c r="BA2" s="99"/>
      <c r="BB2" s="99"/>
      <c r="BC2" s="99"/>
      <c r="BD2" s="99"/>
      <c r="BE2" s="99" t="s">
        <v>203</v>
      </c>
      <c r="BF2" s="99"/>
      <c r="BG2" s="99"/>
      <c r="BH2" s="99"/>
      <c r="BI2" s="99"/>
      <c r="BJ2" s="99" t="s">
        <v>204</v>
      </c>
      <c r="BK2" s="99"/>
      <c r="BL2" s="99"/>
      <c r="BM2" s="99"/>
      <c r="BN2" s="99"/>
    </row>
    <row r="3" spans="1:83" x14ac:dyDescent="0.45">
      <c r="A3" t="s">
        <v>48</v>
      </c>
      <c r="B3" t="s">
        <v>2</v>
      </c>
      <c r="C3" t="s">
        <v>3</v>
      </c>
      <c r="D3" t="s">
        <v>4</v>
      </c>
      <c r="E3" s="1" t="s">
        <v>5</v>
      </c>
      <c r="F3" t="s">
        <v>48</v>
      </c>
      <c r="G3" t="s">
        <v>2</v>
      </c>
      <c r="H3" t="s">
        <v>3</v>
      </c>
      <c r="I3" t="s">
        <v>4</v>
      </c>
      <c r="J3" s="1" t="s">
        <v>5</v>
      </c>
      <c r="K3" t="s">
        <v>48</v>
      </c>
      <c r="L3" t="s">
        <v>2</v>
      </c>
      <c r="M3" t="s">
        <v>3</v>
      </c>
      <c r="N3" t="s">
        <v>4</v>
      </c>
      <c r="O3" s="1" t="s">
        <v>5</v>
      </c>
      <c r="P3" s="1"/>
      <c r="Q3" s="1"/>
      <c r="R3" t="s">
        <v>48</v>
      </c>
      <c r="S3" t="s">
        <v>2</v>
      </c>
      <c r="T3" t="s">
        <v>3</v>
      </c>
      <c r="U3" t="s">
        <v>4</v>
      </c>
      <c r="V3" s="1" t="s">
        <v>5</v>
      </c>
      <c r="W3" t="s">
        <v>48</v>
      </c>
      <c r="X3" t="s">
        <v>2</v>
      </c>
      <c r="Y3" t="s">
        <v>3</v>
      </c>
      <c r="Z3" t="s">
        <v>4</v>
      </c>
      <c r="AA3" s="1" t="s">
        <v>5</v>
      </c>
      <c r="AB3" t="s">
        <v>48</v>
      </c>
      <c r="AC3" t="s">
        <v>2</v>
      </c>
      <c r="AD3" t="s">
        <v>3</v>
      </c>
      <c r="AE3" t="s">
        <v>4</v>
      </c>
      <c r="AF3" s="1" t="s">
        <v>5</v>
      </c>
      <c r="AG3" s="1"/>
      <c r="AH3" s="1"/>
      <c r="AI3" t="s">
        <v>48</v>
      </c>
      <c r="AJ3" t="s">
        <v>2</v>
      </c>
      <c r="AK3" t="s">
        <v>3</v>
      </c>
      <c r="AL3" t="s">
        <v>4</v>
      </c>
      <c r="AM3" s="1" t="s">
        <v>5</v>
      </c>
      <c r="AN3" t="s">
        <v>48</v>
      </c>
      <c r="AO3" t="s">
        <v>2</v>
      </c>
      <c r="AP3" t="s">
        <v>3</v>
      </c>
      <c r="AQ3" t="s">
        <v>4</v>
      </c>
      <c r="AR3" s="1" t="s">
        <v>5</v>
      </c>
      <c r="AS3" t="s">
        <v>48</v>
      </c>
      <c r="AT3" t="s">
        <v>2</v>
      </c>
      <c r="AU3" t="s">
        <v>3</v>
      </c>
      <c r="AV3" t="s">
        <v>4</v>
      </c>
      <c r="AW3" s="1" t="s">
        <v>5</v>
      </c>
      <c r="AX3" s="1"/>
      <c r="AY3" s="1"/>
      <c r="AZ3" t="s">
        <v>48</v>
      </c>
      <c r="BA3" t="s">
        <v>2</v>
      </c>
      <c r="BB3" t="s">
        <v>3</v>
      </c>
      <c r="BC3" t="s">
        <v>4</v>
      </c>
      <c r="BD3" s="1" t="s">
        <v>5</v>
      </c>
      <c r="BE3" t="s">
        <v>48</v>
      </c>
      <c r="BF3" t="s">
        <v>2</v>
      </c>
      <c r="BG3" t="s">
        <v>3</v>
      </c>
      <c r="BH3" t="s">
        <v>4</v>
      </c>
      <c r="BI3" s="1" t="s">
        <v>5</v>
      </c>
      <c r="BJ3" t="s">
        <v>48</v>
      </c>
      <c r="BK3" t="s">
        <v>2</v>
      </c>
      <c r="BL3" t="s">
        <v>3</v>
      </c>
      <c r="BM3" t="s">
        <v>4</v>
      </c>
      <c r="BN3" s="1" t="s">
        <v>5</v>
      </c>
    </row>
    <row r="4" spans="1:83" x14ac:dyDescent="0.45">
      <c r="A4" t="s">
        <v>49</v>
      </c>
      <c r="B4">
        <v>1988</v>
      </c>
      <c r="C4" s="2">
        <v>-4.0657226191251382E-3</v>
      </c>
      <c r="D4" s="2">
        <v>1.6867072649109218E-2</v>
      </c>
      <c r="E4" s="2">
        <f t="shared" ref="E4:E63" si="0">100*(D4-C4)/C4</f>
        <v>-514.86038840344384</v>
      </c>
      <c r="F4" t="s">
        <v>49</v>
      </c>
      <c r="G4">
        <v>1988</v>
      </c>
      <c r="H4" s="2">
        <v>4.7525299746358912E-2</v>
      </c>
      <c r="I4" s="2">
        <v>1.799969204241628E-2</v>
      </c>
      <c r="J4" s="2">
        <f t="shared" ref="J4:J63" si="1">100*(I4-H4)/H4</f>
        <v>-62.126084131020548</v>
      </c>
      <c r="K4" t="s">
        <v>49</v>
      </c>
      <c r="L4">
        <v>1988</v>
      </c>
      <c r="M4" s="2">
        <v>0.38705713517783213</v>
      </c>
      <c r="N4" s="2">
        <v>8.0407345697475471E-2</v>
      </c>
      <c r="O4" s="2">
        <f t="shared" ref="O4:O63" si="2">100*(N4-M4)/M4</f>
        <v>-79.225975084910246</v>
      </c>
      <c r="P4" s="2"/>
      <c r="Q4" s="2"/>
      <c r="R4" t="s">
        <v>49</v>
      </c>
      <c r="S4">
        <v>1988</v>
      </c>
      <c r="T4" s="2">
        <v>0.17421828318242683</v>
      </c>
      <c r="U4" s="2">
        <v>0.11785082649333296</v>
      </c>
      <c r="V4" s="2">
        <f t="shared" ref="V4:V9" si="3">100*(U4-T4)/T4</f>
        <v>-32.354501295406848</v>
      </c>
      <c r="W4" t="s">
        <v>49</v>
      </c>
      <c r="X4">
        <v>1988</v>
      </c>
      <c r="Y4" s="2">
        <v>0.16357538649129355</v>
      </c>
      <c r="Z4" s="2">
        <v>0.10116479206525247</v>
      </c>
      <c r="AA4" s="2">
        <f t="shared" ref="AA4:AA9" si="4">100*(Z4-Y4)/Y4</f>
        <v>-38.15402534865045</v>
      </c>
      <c r="AB4" t="s">
        <v>49</v>
      </c>
      <c r="AC4">
        <v>1988</v>
      </c>
      <c r="AD4" s="2">
        <v>0.21047948779493328</v>
      </c>
      <c r="AE4" s="2">
        <v>0.20416457915481334</v>
      </c>
      <c r="AF4" s="2">
        <f t="shared" ref="AF4:AF9" si="5">100*(AE4-AD4)/AD4</f>
        <v>-3.0002489583557184</v>
      </c>
      <c r="AG4" s="2"/>
      <c r="AH4" s="2"/>
      <c r="AI4" t="s">
        <v>207</v>
      </c>
      <c r="AJ4">
        <v>1988</v>
      </c>
      <c r="AK4" s="2">
        <f>SUM(C4:C5)</f>
        <v>0.10140798759266037</v>
      </c>
      <c r="AL4" s="2">
        <f>SUM(D4:D5)</f>
        <v>8.9513562635916658E-2</v>
      </c>
      <c r="AM4" s="2">
        <f t="shared" ref="AM4:AM23" si="6">100*(AL4-AK4)/AK4</f>
        <v>-11.729278175326494</v>
      </c>
      <c r="AN4" t="s">
        <v>207</v>
      </c>
      <c r="AO4">
        <v>1988</v>
      </c>
      <c r="AP4" s="2">
        <f>SUM(H4:H5)</f>
        <v>0.15082376918691401</v>
      </c>
      <c r="AQ4" s="2">
        <f>SUM(I4:I5)</f>
        <v>9.226124438275872E-2</v>
      </c>
      <c r="AR4" s="2">
        <f t="shared" ref="AR4:AR23" si="7">100*(AQ4-AP4)/AP4</f>
        <v>-38.828445357030887</v>
      </c>
      <c r="AS4" t="s">
        <v>207</v>
      </c>
      <c r="AT4">
        <v>1988</v>
      </c>
      <c r="AU4" s="2">
        <f>SUM(M4:M5)</f>
        <v>0.47603986793208825</v>
      </c>
      <c r="AV4" s="2">
        <f>SUM(N4:N5)</f>
        <v>0.24365929727196933</v>
      </c>
      <c r="AW4" s="2">
        <f t="shared" ref="AW4:AW23" si="8">100*(AV4-AU4)/AU4</f>
        <v>-48.815359030657966</v>
      </c>
      <c r="AX4" s="2"/>
      <c r="AY4" s="2"/>
      <c r="AZ4" t="s">
        <v>207</v>
      </c>
      <c r="BA4">
        <v>1988</v>
      </c>
      <c r="BB4" s="2">
        <f>SUM(T4:T5)</f>
        <v>0.36867945195489155</v>
      </c>
      <c r="BC4" s="2">
        <f>SUM(U4:U5)</f>
        <v>0.33665408661988061</v>
      </c>
      <c r="BD4" s="2">
        <f t="shared" ref="BD4:BD23" si="9">100*(BC4-BB4)/BB4</f>
        <v>-8.6865067106938429</v>
      </c>
      <c r="BE4" t="s">
        <v>207</v>
      </c>
      <c r="BF4">
        <v>1988</v>
      </c>
      <c r="BG4" s="2">
        <f>SUM(Y4:Y5)</f>
        <v>0.37234366404211505</v>
      </c>
      <c r="BH4" s="2">
        <f>SUM(Z4:Z5)</f>
        <v>0.3101257276771629</v>
      </c>
      <c r="BI4" s="2">
        <f t="shared" ref="BI4:BI23" si="10">100*(BH4-BG4)/BG4</f>
        <v>-16.709814715126939</v>
      </c>
      <c r="BJ4" t="s">
        <v>207</v>
      </c>
      <c r="BK4">
        <v>1988</v>
      </c>
      <c r="BL4" s="2">
        <f>SUM(AD4:AD5)</f>
        <v>0.35619518680655793</v>
      </c>
      <c r="BM4" s="2">
        <f>SUM(AE4:AE5)</f>
        <v>0.47388035342197515</v>
      </c>
      <c r="BN4" s="2">
        <f t="shared" ref="BN4:BN23" si="11">100*(BM4-BL4)/BL4</f>
        <v>33.039516246840684</v>
      </c>
    </row>
    <row r="5" spans="1:83" x14ac:dyDescent="0.45">
      <c r="A5" t="s">
        <v>51</v>
      </c>
      <c r="B5">
        <v>1988</v>
      </c>
      <c r="C5" s="2">
        <v>0.1054737102117855</v>
      </c>
      <c r="D5" s="2">
        <v>7.2646489986807436E-2</v>
      </c>
      <c r="E5" s="2">
        <f t="shared" si="0"/>
        <v>-31.123604317192203</v>
      </c>
      <c r="F5" t="s">
        <v>51</v>
      </c>
      <c r="G5">
        <v>1988</v>
      </c>
      <c r="H5" s="2">
        <v>0.1032984694405551</v>
      </c>
      <c r="I5" s="2">
        <v>7.4261552340342443E-2</v>
      </c>
      <c r="J5" s="2">
        <f t="shared" si="1"/>
        <v>-28.10972636619989</v>
      </c>
      <c r="K5" t="s">
        <v>51</v>
      </c>
      <c r="L5">
        <v>1988</v>
      </c>
      <c r="M5" s="2">
        <v>8.8982732754256111E-2</v>
      </c>
      <c r="N5" s="2">
        <v>0.16325195157449388</v>
      </c>
      <c r="O5" s="2">
        <f t="shared" si="2"/>
        <v>83.464753802681358</v>
      </c>
      <c r="P5" s="2"/>
      <c r="Q5" s="2"/>
      <c r="R5" t="s">
        <v>51</v>
      </c>
      <c r="S5">
        <v>1988</v>
      </c>
      <c r="T5" s="2">
        <v>0.19446116877246472</v>
      </c>
      <c r="U5" s="2">
        <v>0.21880326012654763</v>
      </c>
      <c r="V5" s="2">
        <f t="shared" si="3"/>
        <v>12.517713180344568</v>
      </c>
      <c r="W5" t="s">
        <v>51</v>
      </c>
      <c r="X5">
        <v>1988</v>
      </c>
      <c r="Y5" s="2">
        <v>0.20876827755082153</v>
      </c>
      <c r="Z5" s="2">
        <v>0.20896093561191043</v>
      </c>
      <c r="AA5" s="2">
        <f t="shared" si="4"/>
        <v>9.2283206696475439E-2</v>
      </c>
      <c r="AB5" t="s">
        <v>51</v>
      </c>
      <c r="AC5">
        <v>1988</v>
      </c>
      <c r="AD5" s="2">
        <v>0.14571569901162462</v>
      </c>
      <c r="AE5" s="2">
        <v>0.26971577426716181</v>
      </c>
      <c r="AF5" s="2">
        <f t="shared" si="5"/>
        <v>85.097265494807772</v>
      </c>
      <c r="AG5" s="2"/>
      <c r="AH5" s="2"/>
      <c r="AI5" t="s">
        <v>208</v>
      </c>
      <c r="AJ5">
        <v>1988</v>
      </c>
      <c r="AK5" s="2">
        <f>SUM(C6:C9)</f>
        <v>0.89859201240733955</v>
      </c>
      <c r="AL5" s="2">
        <f>SUM(D6:D9)</f>
        <v>0.9104864373640833</v>
      </c>
      <c r="AM5" s="2">
        <f t="shared" si="6"/>
        <v>1.323673568483926</v>
      </c>
      <c r="AN5" t="s">
        <v>208</v>
      </c>
      <c r="AO5">
        <v>1988</v>
      </c>
      <c r="AP5" s="2">
        <f>SUM(H6:H9)</f>
        <v>0.84917623081308602</v>
      </c>
      <c r="AQ5" s="2">
        <f>SUM(I6:I9)</f>
        <v>0.90773875561724127</v>
      </c>
      <c r="AR5" s="2">
        <f t="shared" si="7"/>
        <v>6.8963923717084787</v>
      </c>
      <c r="AS5" t="s">
        <v>208</v>
      </c>
      <c r="AT5">
        <v>1988</v>
      </c>
      <c r="AU5" s="2">
        <f>SUM(M6:M9)</f>
        <v>0.52396013206791192</v>
      </c>
      <c r="AV5" s="2">
        <f>SUM(N6:N9)</f>
        <v>0.75634070272803078</v>
      </c>
      <c r="AW5" s="2">
        <f t="shared" si="8"/>
        <v>44.350811528919799</v>
      </c>
      <c r="AX5" s="2"/>
      <c r="AY5" s="2"/>
      <c r="AZ5" t="s">
        <v>208</v>
      </c>
      <c r="BA5">
        <v>1988</v>
      </c>
      <c r="BB5" s="2">
        <f>SUM(T6:T9)</f>
        <v>0.63132054804510829</v>
      </c>
      <c r="BC5" s="2">
        <f>SUM(U6:U9)</f>
        <v>0.66334591338011939</v>
      </c>
      <c r="BD5" s="2">
        <f t="shared" si="9"/>
        <v>5.072758273776774</v>
      </c>
      <c r="BE5" t="s">
        <v>208</v>
      </c>
      <c r="BF5">
        <v>1988</v>
      </c>
      <c r="BG5" s="2">
        <f>SUM(Y6:Y9)</f>
        <v>0.62765633595788495</v>
      </c>
      <c r="BH5" s="2">
        <f>SUM(Z6:Z9)</f>
        <v>0.68987427232283693</v>
      </c>
      <c r="BI5" s="2">
        <f t="shared" si="10"/>
        <v>9.9127393129871546</v>
      </c>
      <c r="BJ5" t="s">
        <v>208</v>
      </c>
      <c r="BK5">
        <v>1988</v>
      </c>
      <c r="BL5" s="2">
        <f>SUM(AD6:AD9)</f>
        <v>0.64380481319344207</v>
      </c>
      <c r="BM5" s="2">
        <f>SUM(AE6:AE9)</f>
        <v>0.5261196465780249</v>
      </c>
      <c r="BN5" s="2">
        <f t="shared" si="11"/>
        <v>-18.279634479846095</v>
      </c>
    </row>
    <row r="6" spans="1:83" x14ac:dyDescent="0.45">
      <c r="A6" t="s">
        <v>53</v>
      </c>
      <c r="B6">
        <v>1988</v>
      </c>
      <c r="C6" s="2">
        <v>0.189882032839158</v>
      </c>
      <c r="D6" s="2">
        <v>0.1339310979786946</v>
      </c>
      <c r="E6" s="2">
        <f t="shared" si="0"/>
        <v>-29.466155393363287</v>
      </c>
      <c r="F6" t="s">
        <v>53</v>
      </c>
      <c r="G6">
        <v>1988</v>
      </c>
      <c r="H6" s="2">
        <v>0.18741838977749684</v>
      </c>
      <c r="I6" s="2">
        <v>0.13365472966662723</v>
      </c>
      <c r="J6" s="2">
        <f t="shared" si="1"/>
        <v>-28.68643796091613</v>
      </c>
      <c r="K6" t="s">
        <v>53</v>
      </c>
      <c r="L6">
        <v>1988</v>
      </c>
      <c r="M6" s="2">
        <v>0.17120461435261836</v>
      </c>
      <c r="N6" s="2">
        <v>0.11842675634862125</v>
      </c>
      <c r="O6" s="2">
        <f t="shared" si="2"/>
        <v>-30.827357196865144</v>
      </c>
      <c r="P6" s="2"/>
      <c r="Q6" s="2"/>
      <c r="R6" t="s">
        <v>53</v>
      </c>
      <c r="S6">
        <v>1988</v>
      </c>
      <c r="T6" s="2">
        <v>0.26749672576228445</v>
      </c>
      <c r="U6" s="2">
        <v>0.28166488101957726</v>
      </c>
      <c r="V6" s="2">
        <f t="shared" si="3"/>
        <v>5.2965714690218633</v>
      </c>
      <c r="W6" t="s">
        <v>53</v>
      </c>
      <c r="X6">
        <v>1988</v>
      </c>
      <c r="Y6" s="2">
        <v>0.26896888773673638</v>
      </c>
      <c r="Z6" s="2">
        <v>0.28026622140642748</v>
      </c>
      <c r="AA6" s="2">
        <f t="shared" si="4"/>
        <v>4.2002380887817772</v>
      </c>
      <c r="AB6" t="s">
        <v>53</v>
      </c>
      <c r="AC6">
        <v>1988</v>
      </c>
      <c r="AD6" s="2">
        <v>0.26248095156776252</v>
      </c>
      <c r="AE6" s="2">
        <v>0.2888998870617468</v>
      </c>
      <c r="AF6" s="2">
        <f t="shared" si="5"/>
        <v>10.065086756272262</v>
      </c>
      <c r="AG6" s="2"/>
      <c r="AH6" s="2"/>
      <c r="AI6" t="s">
        <v>207</v>
      </c>
      <c r="AJ6">
        <v>1991</v>
      </c>
      <c r="AK6" s="2">
        <f>SUM(C10:C11)</f>
        <v>0.12143488099636809</v>
      </c>
      <c r="AL6" s="2">
        <f>SUM(D10:D11)</f>
        <v>0.17088906380878199</v>
      </c>
      <c r="AM6" s="2">
        <f t="shared" si="6"/>
        <v>40.72485797049778</v>
      </c>
      <c r="AN6" t="s">
        <v>207</v>
      </c>
      <c r="AO6">
        <v>1991</v>
      </c>
      <c r="AP6" s="2">
        <f>SUM(H10:H11)</f>
        <v>0.16759447768904798</v>
      </c>
      <c r="AQ6" s="2">
        <f>SUM(I10:I11)</f>
        <v>0.17633173848833872</v>
      </c>
      <c r="AR6" s="2">
        <f t="shared" si="7"/>
        <v>5.213334544054435</v>
      </c>
      <c r="AS6" t="s">
        <v>207</v>
      </c>
      <c r="AT6">
        <v>1991</v>
      </c>
      <c r="AU6" s="2">
        <f>SUM(M10:M11)</f>
        <v>0.47932629183114189</v>
      </c>
      <c r="AV6" s="2">
        <f>SUM(N10:N11)</f>
        <v>0.67902417257597425</v>
      </c>
      <c r="AW6" s="2">
        <f t="shared" si="8"/>
        <v>41.662200498524371</v>
      </c>
      <c r="AX6" s="2"/>
      <c r="AY6" s="2"/>
      <c r="AZ6" t="s">
        <v>207</v>
      </c>
      <c r="BA6">
        <v>1991</v>
      </c>
      <c r="BB6" s="2">
        <f>SUM(T10:T11)</f>
        <v>0.38664456155939841</v>
      </c>
      <c r="BC6" s="2">
        <f>SUM(U10:U11)</f>
        <v>0.30220074968707511</v>
      </c>
      <c r="BD6" s="2">
        <f t="shared" si="9"/>
        <v>-21.840165430427398</v>
      </c>
      <c r="BE6" t="s">
        <v>207</v>
      </c>
      <c r="BF6">
        <v>1991</v>
      </c>
      <c r="BG6" s="2">
        <f>SUM(Y10:Y11)</f>
        <v>0.40017920891919867</v>
      </c>
      <c r="BH6" s="2">
        <f>SUM(Z10:Z11)</f>
        <v>0.28978261946262757</v>
      </c>
      <c r="BI6" s="2">
        <f t="shared" si="10"/>
        <v>-27.586787868047789</v>
      </c>
      <c r="BJ6" t="s">
        <v>207</v>
      </c>
      <c r="BK6">
        <v>1991</v>
      </c>
      <c r="BL6" s="2">
        <f>SUM(AD10:AD11)</f>
        <v>0.3417317010258053</v>
      </c>
      <c r="BM6" s="2">
        <f>SUM(AE10:AE11)</f>
        <v>0.34618245250061008</v>
      </c>
      <c r="BN6" s="2">
        <f t="shared" si="11"/>
        <v>1.3024110614978299</v>
      </c>
    </row>
    <row r="7" spans="1:83" x14ac:dyDescent="0.45">
      <c r="A7" t="s">
        <v>54</v>
      </c>
      <c r="B7">
        <v>1988</v>
      </c>
      <c r="C7" s="2">
        <v>0.18069650245639793</v>
      </c>
      <c r="D7" s="2">
        <v>0.20553574152307569</v>
      </c>
      <c r="E7" s="2">
        <f t="shared" si="0"/>
        <v>13.746386193983732</v>
      </c>
      <c r="F7" t="s">
        <v>54</v>
      </c>
      <c r="G7">
        <v>1988</v>
      </c>
      <c r="H7" s="2">
        <v>0.17347211190499928</v>
      </c>
      <c r="I7" s="2">
        <v>0.20862608579986738</v>
      </c>
      <c r="J7" s="2">
        <f t="shared" si="1"/>
        <v>20.264913771338595</v>
      </c>
      <c r="K7" t="s">
        <v>54</v>
      </c>
      <c r="L7">
        <v>1988</v>
      </c>
      <c r="M7" s="2">
        <v>0.12592681291066779</v>
      </c>
      <c r="N7" s="2">
        <v>0.37890494244012957</v>
      </c>
      <c r="O7" s="2">
        <f t="shared" si="2"/>
        <v>200.89298194890699</v>
      </c>
      <c r="P7" s="2"/>
      <c r="Q7" s="2"/>
      <c r="R7" t="s">
        <v>54</v>
      </c>
      <c r="S7">
        <v>1988</v>
      </c>
      <c r="T7" s="2">
        <v>0.19030260023827666</v>
      </c>
      <c r="U7" s="2">
        <v>0.19909303226228686</v>
      </c>
      <c r="V7" s="2">
        <f t="shared" si="3"/>
        <v>4.6191865024459746</v>
      </c>
      <c r="W7" t="s">
        <v>54</v>
      </c>
      <c r="X7">
        <v>1988</v>
      </c>
      <c r="Y7" s="2">
        <v>0.18518085098403805</v>
      </c>
      <c r="Z7" s="2">
        <v>0.20274532318647295</v>
      </c>
      <c r="AA7" s="2">
        <f t="shared" si="4"/>
        <v>9.4850369836289907</v>
      </c>
      <c r="AB7" t="s">
        <v>54</v>
      </c>
      <c r="AC7">
        <v>1988</v>
      </c>
      <c r="AD7" s="2">
        <v>0.20775281168650259</v>
      </c>
      <c r="AE7" s="2">
        <v>0.18020041060093797</v>
      </c>
      <c r="AF7" s="2">
        <f t="shared" si="5"/>
        <v>-13.262107435224982</v>
      </c>
      <c r="AG7" s="2"/>
      <c r="AH7" s="2"/>
      <c r="AI7" t="s">
        <v>208</v>
      </c>
      <c r="AJ7">
        <v>1991</v>
      </c>
      <c r="AK7" s="2">
        <f>SUM(C12:C15)</f>
        <v>0.87856511900363188</v>
      </c>
      <c r="AL7" s="2">
        <f>SUM(D12:D15)</f>
        <v>0.82911093619121801</v>
      </c>
      <c r="AM7" s="2">
        <f t="shared" si="6"/>
        <v>-5.6289718021697874</v>
      </c>
      <c r="AN7" t="s">
        <v>208</v>
      </c>
      <c r="AO7">
        <v>1991</v>
      </c>
      <c r="AP7" s="2">
        <f>SUM(H12:H15)</f>
        <v>0.83240552231095188</v>
      </c>
      <c r="AQ7" s="2">
        <f>SUM(I12:I15)</f>
        <v>0.82366826151166139</v>
      </c>
      <c r="AR7" s="2">
        <f t="shared" si="7"/>
        <v>-1.0496399369184646</v>
      </c>
      <c r="AS7" t="s">
        <v>208</v>
      </c>
      <c r="AT7">
        <v>1991</v>
      </c>
      <c r="AU7" s="2">
        <f>SUM(M12:M15)</f>
        <v>0.52067370816885816</v>
      </c>
      <c r="AV7" s="2">
        <f>SUM(N12:N15)</f>
        <v>0.32097582742402564</v>
      </c>
      <c r="AW7" s="2">
        <f t="shared" si="8"/>
        <v>-38.353747771736742</v>
      </c>
      <c r="AX7" s="2"/>
      <c r="AY7" s="2"/>
      <c r="AZ7" t="s">
        <v>208</v>
      </c>
      <c r="BA7">
        <v>1991</v>
      </c>
      <c r="BB7" s="2">
        <f>SUM(T12:T15)</f>
        <v>0.61335543844060159</v>
      </c>
      <c r="BC7" s="2">
        <f>SUM(U12:U15)</f>
        <v>0.697799250312925</v>
      </c>
      <c r="BD7" s="2">
        <f t="shared" si="9"/>
        <v>13.76751661108832</v>
      </c>
      <c r="BE7" t="s">
        <v>208</v>
      </c>
      <c r="BF7">
        <v>1991</v>
      </c>
      <c r="BG7" s="2">
        <f>SUM(Y12:Y15)</f>
        <v>0.59982079108080144</v>
      </c>
      <c r="BH7" s="2">
        <f>SUM(Z12:Z15)</f>
        <v>0.71021738053737249</v>
      </c>
      <c r="BI7" s="2">
        <f t="shared" si="10"/>
        <v>18.404928788422009</v>
      </c>
      <c r="BJ7" t="s">
        <v>208</v>
      </c>
      <c r="BK7">
        <v>1991</v>
      </c>
      <c r="BL7" s="2">
        <f>SUM(AD12:AD15)</f>
        <v>0.65826829897419448</v>
      </c>
      <c r="BM7" s="2">
        <f>SUM(AE12:AE15)</f>
        <v>0.65381754749938981</v>
      </c>
      <c r="BN7" s="2">
        <f t="shared" si="11"/>
        <v>-0.67613030761779847</v>
      </c>
    </row>
    <row r="8" spans="1:83" x14ac:dyDescent="0.45">
      <c r="A8" t="s">
        <v>55</v>
      </c>
      <c r="B8">
        <v>1988</v>
      </c>
      <c r="C8" s="2">
        <v>0.35162723414946973</v>
      </c>
      <c r="D8" s="2">
        <v>0.26833356224490612</v>
      </c>
      <c r="E8" s="2">
        <f t="shared" si="0"/>
        <v>-23.688060484290336</v>
      </c>
      <c r="F8" t="s">
        <v>55</v>
      </c>
      <c r="G8">
        <v>1988</v>
      </c>
      <c r="H8" s="2">
        <v>0.3221718881796154</v>
      </c>
      <c r="I8" s="2">
        <v>0.26493389803897399</v>
      </c>
      <c r="J8" s="2">
        <f t="shared" si="1"/>
        <v>-17.766289437621701</v>
      </c>
      <c r="K8" t="s">
        <v>55</v>
      </c>
      <c r="L8">
        <v>1988</v>
      </c>
      <c r="M8" s="2">
        <v>0.12831979489168119</v>
      </c>
      <c r="N8" s="2">
        <v>7.7611424522229633E-2</v>
      </c>
      <c r="O8" s="2">
        <f t="shared" si="2"/>
        <v>-39.517184712036126</v>
      </c>
      <c r="P8" s="2"/>
      <c r="Q8" s="2"/>
      <c r="R8" t="s">
        <v>55</v>
      </c>
      <c r="S8">
        <v>1988</v>
      </c>
      <c r="T8" s="2">
        <v>0.15029556017841417</v>
      </c>
      <c r="U8" s="2">
        <v>0.12895108636045102</v>
      </c>
      <c r="V8" s="2">
        <f t="shared" si="3"/>
        <v>-14.201666231940157</v>
      </c>
      <c r="W8" t="s">
        <v>55</v>
      </c>
      <c r="X8">
        <v>1988</v>
      </c>
      <c r="Y8" s="2">
        <v>0.15059166771423751</v>
      </c>
      <c r="Z8" s="2">
        <v>0.14610997800137174</v>
      </c>
      <c r="AA8" s="2">
        <f t="shared" si="4"/>
        <v>-2.9760542405109849</v>
      </c>
      <c r="AB8" t="s">
        <v>55</v>
      </c>
      <c r="AC8">
        <v>1988</v>
      </c>
      <c r="AD8" s="2">
        <v>0.14928669799968611</v>
      </c>
      <c r="AE8" s="2">
        <v>4.0191331283645014E-2</v>
      </c>
      <c r="AF8" s="2">
        <f t="shared" si="5"/>
        <v>-73.077754533944116</v>
      </c>
      <c r="AG8" s="2"/>
      <c r="AH8" s="2"/>
      <c r="AI8" t="s">
        <v>207</v>
      </c>
      <c r="AJ8">
        <v>1994</v>
      </c>
      <c r="AK8" s="2">
        <f>SUM(C16:C17)</f>
        <v>0.13875070311211207</v>
      </c>
      <c r="AL8" s="2">
        <f>SUM(D16:D17)</f>
        <v>0.14042779676655087</v>
      </c>
      <c r="AM8" s="2">
        <f t="shared" si="6"/>
        <v>1.2087100222358438</v>
      </c>
      <c r="AN8" t="s">
        <v>207</v>
      </c>
      <c r="AO8">
        <v>1994</v>
      </c>
      <c r="AP8" s="2">
        <f>SUM(H16:H17)</f>
        <v>0.17383778850266554</v>
      </c>
      <c r="AQ8" s="2">
        <f>SUM(I16:I17)</f>
        <v>0.14406645446566457</v>
      </c>
      <c r="AR8" s="2">
        <f t="shared" si="7"/>
        <v>-17.125927736100063</v>
      </c>
      <c r="AS8" t="s">
        <v>207</v>
      </c>
      <c r="AT8">
        <v>1994</v>
      </c>
      <c r="AU8" s="2">
        <f>SUM(M16:M17)</f>
        <v>0.45146572521169104</v>
      </c>
      <c r="AV8" s="2">
        <f>SUM(N16:N17)</f>
        <v>0.31942234586004947</v>
      </c>
      <c r="AW8" s="2">
        <f t="shared" si="8"/>
        <v>-29.247708514245858</v>
      </c>
      <c r="AX8" s="2"/>
      <c r="AY8" s="2"/>
      <c r="AZ8" t="s">
        <v>207</v>
      </c>
      <c r="BA8">
        <v>1994</v>
      </c>
      <c r="BB8" s="2">
        <f>SUM(T16:T17)</f>
        <v>0.38777947549290581</v>
      </c>
      <c r="BC8" s="2">
        <f>SUM(U16:U17)</f>
        <v>0.33403754328627899</v>
      </c>
      <c r="BD8" s="2">
        <f t="shared" si="9"/>
        <v>-13.858890323763408</v>
      </c>
      <c r="BE8" t="s">
        <v>207</v>
      </c>
      <c r="BF8">
        <v>1994</v>
      </c>
      <c r="BG8" s="2">
        <f>SUM(Y16:Y17)</f>
        <v>0.40421107549891355</v>
      </c>
      <c r="BH8" s="2">
        <f>SUM(Z16:Z17)</f>
        <v>0.30126286221741061</v>
      </c>
      <c r="BI8" s="2">
        <f t="shared" si="10"/>
        <v>-25.468924411443954</v>
      </c>
      <c r="BJ8" t="s">
        <v>207</v>
      </c>
      <c r="BK8">
        <v>1994</v>
      </c>
      <c r="BL8" s="2">
        <f>SUM(AD16:AD17)</f>
        <v>0.33457866595206992</v>
      </c>
      <c r="BM8" s="2">
        <f>SUM(AE16:AE17)</f>
        <v>0.45921708554019947</v>
      </c>
      <c r="BN8" s="2">
        <f t="shared" si="11"/>
        <v>37.252351172320303</v>
      </c>
    </row>
    <row r="9" spans="1:83" x14ac:dyDescent="0.45">
      <c r="A9" t="s">
        <v>56</v>
      </c>
      <c r="B9">
        <v>1988</v>
      </c>
      <c r="C9" s="2">
        <v>0.17638624296231387</v>
      </c>
      <c r="D9" s="2">
        <v>0.30268603561740698</v>
      </c>
      <c r="E9" s="2">
        <f t="shared" si="0"/>
        <v>71.604106155874035</v>
      </c>
      <c r="F9" t="s">
        <v>56</v>
      </c>
      <c r="G9">
        <v>1988</v>
      </c>
      <c r="H9" s="2">
        <v>0.16611384095097451</v>
      </c>
      <c r="I9" s="2">
        <v>0.30052404211177264</v>
      </c>
      <c r="J9" s="2">
        <f t="shared" si="1"/>
        <v>80.914510429306645</v>
      </c>
      <c r="K9" t="s">
        <v>56</v>
      </c>
      <c r="L9">
        <v>1988</v>
      </c>
      <c r="M9" s="2">
        <v>9.8508909912944614E-2</v>
      </c>
      <c r="N9" s="2">
        <v>0.18139757941705023</v>
      </c>
      <c r="O9" s="2">
        <f t="shared" si="2"/>
        <v>84.143322240959634</v>
      </c>
      <c r="P9" s="2"/>
      <c r="Q9" s="2"/>
      <c r="R9" t="s">
        <v>56</v>
      </c>
      <c r="S9">
        <v>1988</v>
      </c>
      <c r="T9" s="2">
        <v>2.3225661866133007E-2</v>
      </c>
      <c r="U9" s="2">
        <v>5.3636913737804187E-2</v>
      </c>
      <c r="V9" s="2">
        <f t="shared" si="3"/>
        <v>130.93814956471056</v>
      </c>
      <c r="W9" t="s">
        <v>56</v>
      </c>
      <c r="X9">
        <v>1988</v>
      </c>
      <c r="Y9" s="2">
        <v>2.2914929522872978E-2</v>
      </c>
      <c r="Z9" s="2">
        <v>6.0752749728564814E-2</v>
      </c>
      <c r="AA9" s="2">
        <f t="shared" si="4"/>
        <v>165.12300492970439</v>
      </c>
      <c r="AB9" t="s">
        <v>56</v>
      </c>
      <c r="AC9">
        <v>1988</v>
      </c>
      <c r="AD9" s="2">
        <v>2.4284351939490835E-2</v>
      </c>
      <c r="AE9" s="2">
        <v>1.6828017631695086E-2</v>
      </c>
      <c r="AF9" s="2">
        <f t="shared" si="5"/>
        <v>-30.704275437840177</v>
      </c>
      <c r="AG9" s="2"/>
      <c r="AH9" s="2"/>
      <c r="AI9" t="s">
        <v>208</v>
      </c>
      <c r="AJ9">
        <v>1994</v>
      </c>
      <c r="AK9" s="2">
        <f>SUM(C18:C21)</f>
        <v>0.86124929688788776</v>
      </c>
      <c r="AL9" s="2">
        <f>SUM(D18:D21)</f>
        <v>0.85957220323344885</v>
      </c>
      <c r="AM9" s="2">
        <f t="shared" si="6"/>
        <v>-0.1947280143506723</v>
      </c>
      <c r="AN9" t="s">
        <v>208</v>
      </c>
      <c r="AO9">
        <v>1994</v>
      </c>
      <c r="AP9" s="2">
        <f>SUM(H18:H21)</f>
        <v>0.82616221149733449</v>
      </c>
      <c r="AQ9" s="2">
        <f>SUM(I18:I21)</f>
        <v>0.85593354553433532</v>
      </c>
      <c r="AR9" s="2">
        <f t="shared" si="7"/>
        <v>3.6035700523076857</v>
      </c>
      <c r="AS9" t="s">
        <v>208</v>
      </c>
      <c r="AT9">
        <v>1994</v>
      </c>
      <c r="AU9" s="2">
        <f>SUM(M18:M21)</f>
        <v>0.54853427478830907</v>
      </c>
      <c r="AV9" s="2">
        <f>SUM(N18:N21)</f>
        <v>0.68057765413995042</v>
      </c>
      <c r="AW9" s="2">
        <f t="shared" si="8"/>
        <v>24.072038051332282</v>
      </c>
      <c r="AX9" s="2"/>
      <c r="AY9" s="2"/>
      <c r="AZ9" t="s">
        <v>208</v>
      </c>
      <c r="BA9">
        <v>1994</v>
      </c>
      <c r="BB9" s="2">
        <f>SUM(T18:T21)</f>
        <v>0.61222052450709408</v>
      </c>
      <c r="BC9" s="2">
        <f>SUM(U18:U21)</f>
        <v>0.66596245671372101</v>
      </c>
      <c r="BD9" s="2">
        <f t="shared" si="9"/>
        <v>8.778198386912166</v>
      </c>
      <c r="BE9" t="s">
        <v>208</v>
      </c>
      <c r="BF9">
        <v>1994</v>
      </c>
      <c r="BG9" s="2">
        <f>SUM(Y18:Y21)</f>
        <v>0.59578892450108656</v>
      </c>
      <c r="BH9" s="2">
        <f>SUM(Z18:Z21)</f>
        <v>0.69873713778258917</v>
      </c>
      <c r="BI9" s="2">
        <f t="shared" si="10"/>
        <v>17.279309676276949</v>
      </c>
      <c r="BJ9" t="s">
        <v>208</v>
      </c>
      <c r="BK9">
        <v>1994</v>
      </c>
      <c r="BL9" s="2">
        <f>SUM(AD18:AD21)</f>
        <v>0.66542133404793002</v>
      </c>
      <c r="BM9" s="2">
        <f>SUM(AE18:AE21)</f>
        <v>0.54078291445980065</v>
      </c>
      <c r="BN9" s="2">
        <f t="shared" si="11"/>
        <v>-18.730751962808533</v>
      </c>
    </row>
    <row r="10" spans="1:83" x14ac:dyDescent="0.45">
      <c r="A10" t="s">
        <v>49</v>
      </c>
      <c r="B10">
        <v>1991</v>
      </c>
      <c r="C10" s="2">
        <v>9.9714436097123205E-3</v>
      </c>
      <c r="D10" s="2">
        <v>1.0440802083320207E-2</v>
      </c>
      <c r="E10" s="2">
        <f t="shared" si="0"/>
        <v>4.7070263041023006</v>
      </c>
      <c r="F10" t="s">
        <v>49</v>
      </c>
      <c r="G10">
        <v>1991</v>
      </c>
      <c r="H10" s="2">
        <v>5.6259582810010582E-2</v>
      </c>
      <c r="I10" s="2">
        <v>1.7058167110272547E-2</v>
      </c>
      <c r="J10" s="2">
        <f t="shared" si="1"/>
        <v>-69.679535008501176</v>
      </c>
      <c r="K10" t="s">
        <v>49</v>
      </c>
      <c r="L10">
        <v>1991</v>
      </c>
      <c r="M10" s="2">
        <v>0.36885948922251643</v>
      </c>
      <c r="N10" s="2">
        <v>0.62824651263821196</v>
      </c>
      <c r="O10" s="2">
        <f>100*(N10-M10)/M10</f>
        <v>70.321363824049257</v>
      </c>
      <c r="P10" s="2"/>
      <c r="Q10" s="2"/>
      <c r="R10" t="s">
        <v>49</v>
      </c>
      <c r="S10">
        <v>1991</v>
      </c>
      <c r="T10" s="2">
        <v>0.18851758604782487</v>
      </c>
      <c r="U10" s="2">
        <v>0.12656207848580192</v>
      </c>
      <c r="V10" s="2">
        <f t="shared" ref="V10:V63" si="12">100*(U10-T10)/T10</f>
        <v>-32.864577178654038</v>
      </c>
      <c r="W10" t="s">
        <v>49</v>
      </c>
      <c r="X10">
        <v>1991</v>
      </c>
      <c r="Y10" s="2">
        <v>0.18663218934845807</v>
      </c>
      <c r="Z10" s="2">
        <v>0.11980847398192761</v>
      </c>
      <c r="AA10" s="2">
        <f t="shared" ref="AA10:AA63" si="13">100*(Z10-Y10)/Y10</f>
        <v>-35.80503213288943</v>
      </c>
      <c r="AB10" t="s">
        <v>49</v>
      </c>
      <c r="AC10">
        <v>1991</v>
      </c>
      <c r="AD10" s="2">
        <v>0.19477401495639507</v>
      </c>
      <c r="AE10" s="2">
        <v>0.1504815430783682</v>
      </c>
      <c r="AF10" s="2">
        <f t="shared" ref="AF10:AF15" si="14">100*(AE10-AD10)/AD10</f>
        <v>-22.740441987573561</v>
      </c>
      <c r="AG10" s="2"/>
      <c r="AH10" s="2"/>
      <c r="AI10" t="s">
        <v>207</v>
      </c>
      <c r="AJ10">
        <v>1997</v>
      </c>
      <c r="AK10" s="2">
        <f>SUM(C22:C23)</f>
        <v>0.15734222006922449</v>
      </c>
      <c r="AL10" s="2">
        <f>SUM(D22:D23)</f>
        <v>0.12029695873366963</v>
      </c>
      <c r="AM10" s="2">
        <f t="shared" si="6"/>
        <v>-23.544387081392632</v>
      </c>
      <c r="AN10" t="s">
        <v>207</v>
      </c>
      <c r="AO10">
        <v>1997</v>
      </c>
      <c r="AP10" s="2">
        <f>SUM(H22:H23)</f>
        <v>0.18741150717537475</v>
      </c>
      <c r="AQ10" s="2">
        <f>SUM(I22:I23)</f>
        <v>0.12625201560751081</v>
      </c>
      <c r="AR10" s="2">
        <f t="shared" si="7"/>
        <v>-32.633797406384708</v>
      </c>
      <c r="AS10" t="s">
        <v>207</v>
      </c>
      <c r="AT10">
        <v>1997</v>
      </c>
      <c r="AU10" s="2">
        <f>SUM(M22:M23)</f>
        <v>0.42290762763925949</v>
      </c>
      <c r="AV10" s="2">
        <f>SUM(N22:N23)</f>
        <v>0.57887712504624533</v>
      </c>
      <c r="AW10" s="2">
        <f t="shared" si="8"/>
        <v>36.880275316298608</v>
      </c>
      <c r="AX10" s="2"/>
      <c r="AY10" s="2"/>
      <c r="AZ10" t="s">
        <v>207</v>
      </c>
      <c r="BA10">
        <v>1997</v>
      </c>
      <c r="BB10" s="2">
        <f>SUM(T22:T23)</f>
        <v>0.40003716729230643</v>
      </c>
      <c r="BC10" s="2">
        <f>SUM(U22:U23)</f>
        <v>0.29253380141399599</v>
      </c>
      <c r="BD10" s="2">
        <f t="shared" si="9"/>
        <v>-26.873344445956924</v>
      </c>
      <c r="BE10" t="s">
        <v>207</v>
      </c>
      <c r="BF10">
        <v>1997</v>
      </c>
      <c r="BG10" s="2">
        <f>SUM(Y22:Y23)</f>
        <v>0.42526441325885778</v>
      </c>
      <c r="BH10" s="2">
        <f>SUM(Z22:Z23)</f>
        <v>0.24072136335651742</v>
      </c>
      <c r="BI10" s="2">
        <f t="shared" si="10"/>
        <v>-43.394896010263921</v>
      </c>
      <c r="BJ10" t="s">
        <v>207</v>
      </c>
      <c r="BK10">
        <v>1997</v>
      </c>
      <c r="BL10" s="2">
        <f>SUM(AD22:AD23)</f>
        <v>0.32439001389296906</v>
      </c>
      <c r="BM10" s="2">
        <f>SUM(AE22:AE23)</f>
        <v>0.48403455523491379</v>
      </c>
      <c r="BN10" s="2">
        <f t="shared" si="11"/>
        <v>49.213765684728713</v>
      </c>
      <c r="BU10" s="2"/>
      <c r="BZ10" s="2"/>
      <c r="CE10" s="2"/>
    </row>
    <row r="11" spans="1:83" x14ac:dyDescent="0.45">
      <c r="A11" t="s">
        <v>51</v>
      </c>
      <c r="B11">
        <v>1991</v>
      </c>
      <c r="C11" s="2">
        <v>0.11146343738665578</v>
      </c>
      <c r="D11" s="2">
        <v>0.16044826172546178</v>
      </c>
      <c r="E11" s="2">
        <f t="shared" si="0"/>
        <v>43.946988794973578</v>
      </c>
      <c r="F11" t="s">
        <v>51</v>
      </c>
      <c r="G11">
        <v>1991</v>
      </c>
      <c r="H11" s="2">
        <v>0.1113348948790374</v>
      </c>
      <c r="I11" s="2">
        <v>0.15927357137806616</v>
      </c>
      <c r="J11" s="2">
        <f t="shared" si="1"/>
        <v>43.058087539502274</v>
      </c>
      <c r="K11" t="s">
        <v>51</v>
      </c>
      <c r="L11">
        <v>1991</v>
      </c>
      <c r="M11" s="2">
        <v>0.11046680260862547</v>
      </c>
      <c r="N11" s="2">
        <v>5.0777659937762322E-2</v>
      </c>
      <c r="O11" s="2">
        <f t="shared" si="2"/>
        <v>-54.033556925094253</v>
      </c>
      <c r="P11" s="2"/>
      <c r="Q11" s="2"/>
      <c r="R11" t="s">
        <v>51</v>
      </c>
      <c r="S11">
        <v>1991</v>
      </c>
      <c r="T11" s="2">
        <v>0.19812697551157352</v>
      </c>
      <c r="U11" s="2">
        <v>0.17563867120127322</v>
      </c>
      <c r="V11" s="2">
        <f t="shared" si="12"/>
        <v>-11.350450513987004</v>
      </c>
      <c r="W11" t="s">
        <v>51</v>
      </c>
      <c r="X11">
        <v>1991</v>
      </c>
      <c r="Y11" s="2">
        <v>0.21354701957074057</v>
      </c>
      <c r="Z11" s="2">
        <v>0.16997414548069995</v>
      </c>
      <c r="AA11" s="2">
        <f t="shared" si="13"/>
        <v>-20.404346629434681</v>
      </c>
      <c r="AB11" t="s">
        <v>51</v>
      </c>
      <c r="AC11">
        <v>1991</v>
      </c>
      <c r="AD11" s="2">
        <v>0.1469576860694102</v>
      </c>
      <c r="AE11" s="2">
        <v>0.19570090942224191</v>
      </c>
      <c r="AF11" s="2">
        <f t="shared" si="14"/>
        <v>33.168202804860165</v>
      </c>
      <c r="AG11" s="2"/>
      <c r="AH11" s="2"/>
      <c r="AI11" t="s">
        <v>208</v>
      </c>
      <c r="AJ11">
        <v>1997</v>
      </c>
      <c r="AK11" s="2">
        <f>SUM(C24:C27)</f>
        <v>0.84265777993077573</v>
      </c>
      <c r="AL11" s="2">
        <f>SUM(D24:D27)</f>
        <v>0.87970304126633048</v>
      </c>
      <c r="AM11" s="2">
        <f t="shared" si="6"/>
        <v>4.3962403502164324</v>
      </c>
      <c r="AN11" t="s">
        <v>208</v>
      </c>
      <c r="AO11">
        <v>1997</v>
      </c>
      <c r="AP11" s="2">
        <f>SUM(H24:H27)</f>
        <v>0.81258849282462509</v>
      </c>
      <c r="AQ11" s="2">
        <f>SUM(I24:I27)</f>
        <v>0.87374798439248924</v>
      </c>
      <c r="AR11" s="2">
        <f t="shared" si="7"/>
        <v>7.5265022958014924</v>
      </c>
      <c r="AS11" t="s">
        <v>208</v>
      </c>
      <c r="AT11">
        <v>1997</v>
      </c>
      <c r="AU11" s="2">
        <f>SUM(M24:M27)</f>
        <v>0.57709237236074062</v>
      </c>
      <c r="AV11" s="2">
        <f>SUM(N24:N27)</f>
        <v>0.42112287495375467</v>
      </c>
      <c r="AW11" s="2">
        <f t="shared" si="8"/>
        <v>-27.026781998340013</v>
      </c>
      <c r="AX11" s="2"/>
      <c r="AY11" s="2"/>
      <c r="AZ11" t="s">
        <v>208</v>
      </c>
      <c r="BA11">
        <v>1997</v>
      </c>
      <c r="BB11" s="2">
        <f>SUM(T24:T27)</f>
        <v>0.59996283270769357</v>
      </c>
      <c r="BC11" s="2">
        <f>SUM(U24:U27)</f>
        <v>0.7074661985860039</v>
      </c>
      <c r="BD11" s="2">
        <f t="shared" si="9"/>
        <v>17.918337606537499</v>
      </c>
      <c r="BE11" t="s">
        <v>208</v>
      </c>
      <c r="BF11">
        <v>1997</v>
      </c>
      <c r="BG11" s="2">
        <f>SUM(Y24:Y27)</f>
        <v>0.57473558674114233</v>
      </c>
      <c r="BH11" s="2">
        <f>SUM(Z24:Z27)</f>
        <v>0.75927863664348239</v>
      </c>
      <c r="BI11" s="2">
        <f t="shared" si="10"/>
        <v>32.109208853541411</v>
      </c>
      <c r="BJ11" t="s">
        <v>208</v>
      </c>
      <c r="BK11">
        <v>1997</v>
      </c>
      <c r="BL11" s="2">
        <f>SUM(AD24:AD27)</f>
        <v>0.67560998610703094</v>
      </c>
      <c r="BM11" s="2">
        <f>SUM(AE24:AE27)</f>
        <v>0.51596544476508632</v>
      </c>
      <c r="BN11" s="2">
        <f t="shared" si="11"/>
        <v>-23.629689410282566</v>
      </c>
      <c r="BU11" s="2"/>
      <c r="BZ11" s="2"/>
      <c r="CE11" s="2"/>
    </row>
    <row r="12" spans="1:83" x14ac:dyDescent="0.45">
      <c r="A12" t="s">
        <v>53</v>
      </c>
      <c r="B12">
        <v>1991</v>
      </c>
      <c r="C12" s="2">
        <v>0.17680460019255356</v>
      </c>
      <c r="D12" s="2">
        <v>0.14850787337917404</v>
      </c>
      <c r="E12" s="2">
        <f t="shared" si="0"/>
        <v>-16.004519555804688</v>
      </c>
      <c r="F12" t="s">
        <v>53</v>
      </c>
      <c r="G12">
        <v>1991</v>
      </c>
      <c r="H12" s="2">
        <v>0.17529488173597915</v>
      </c>
      <c r="I12" s="2">
        <v>0.14916321915181993</v>
      </c>
      <c r="J12" s="2">
        <f t="shared" si="1"/>
        <v>-14.907259313775912</v>
      </c>
      <c r="K12" t="s">
        <v>53</v>
      </c>
      <c r="L12">
        <v>1991</v>
      </c>
      <c r="M12" s="2">
        <v>0.16509922780847452</v>
      </c>
      <c r="N12" s="2">
        <v>0.20969179765712503</v>
      </c>
      <c r="O12" s="2">
        <f t="shared" si="2"/>
        <v>27.009556883197959</v>
      </c>
      <c r="P12" s="2"/>
      <c r="Q12" s="2"/>
      <c r="R12" t="s">
        <v>53</v>
      </c>
      <c r="S12">
        <v>1991</v>
      </c>
      <c r="T12" s="2">
        <v>0.25533577698048121</v>
      </c>
      <c r="U12" s="2">
        <v>0.24701610087382439</v>
      </c>
      <c r="V12" s="2">
        <f t="shared" si="12"/>
        <v>-3.2583276049453915</v>
      </c>
      <c r="W12" t="s">
        <v>53</v>
      </c>
      <c r="X12">
        <v>1991</v>
      </c>
      <c r="Y12" s="2">
        <v>0.24911851142016783</v>
      </c>
      <c r="Z12" s="2">
        <v>0.25835655374132427</v>
      </c>
      <c r="AA12" s="2">
        <f t="shared" si="13"/>
        <v>3.7082921973531651</v>
      </c>
      <c r="AB12" t="s">
        <v>53</v>
      </c>
      <c r="AC12">
        <v>1991</v>
      </c>
      <c r="AD12" s="2">
        <v>0.27596691524271866</v>
      </c>
      <c r="AE12" s="2">
        <v>0.20685124362282306</v>
      </c>
      <c r="AF12" s="2">
        <f t="shared" si="14"/>
        <v>-25.044912198662264</v>
      </c>
      <c r="AG12" s="2"/>
      <c r="AH12" s="2"/>
      <c r="AI12" t="s">
        <v>207</v>
      </c>
      <c r="AJ12">
        <v>2000</v>
      </c>
      <c r="AK12" s="2">
        <f>SUM(C28:C29)</f>
        <v>0.15290977838286482</v>
      </c>
      <c r="AL12" s="2">
        <f>SUM(D28:D29)</f>
        <v>0.11751062517512317</v>
      </c>
      <c r="AM12" s="2">
        <f t="shared" si="6"/>
        <v>-23.15035283035143</v>
      </c>
      <c r="AN12" t="s">
        <v>207</v>
      </c>
      <c r="AO12">
        <v>2000</v>
      </c>
      <c r="AP12" s="2">
        <f>SUM(H28:H29)</f>
        <v>0.18672498324374545</v>
      </c>
      <c r="AQ12" s="2">
        <f>SUM(I28:I29)</f>
        <v>0.11992814952975395</v>
      </c>
      <c r="AR12" s="2">
        <f t="shared" si="7"/>
        <v>-35.772842259033347</v>
      </c>
      <c r="AS12" t="s">
        <v>207</v>
      </c>
      <c r="AT12">
        <v>2000</v>
      </c>
      <c r="AU12" s="2">
        <f>SUM(M28:M29)</f>
        <v>0.42204068413280516</v>
      </c>
      <c r="AV12" s="2">
        <f>SUM(N28:N29)</f>
        <v>0.287642541409105</v>
      </c>
      <c r="AW12" s="2">
        <f t="shared" si="8"/>
        <v>-31.84483102615021</v>
      </c>
      <c r="AX12" s="2"/>
      <c r="AY12" s="2"/>
      <c r="AZ12" t="s">
        <v>207</v>
      </c>
      <c r="BA12">
        <v>2000</v>
      </c>
      <c r="BB12" s="2">
        <f>SUM(T28:T29)</f>
        <v>0.40581500002526472</v>
      </c>
      <c r="BC12" s="2">
        <f>SUM(U28:U29)</f>
        <v>0.34727412304791427</v>
      </c>
      <c r="BD12" s="2">
        <f t="shared" si="9"/>
        <v>-14.425508414845652</v>
      </c>
      <c r="BE12" t="s">
        <v>207</v>
      </c>
      <c r="BF12">
        <v>2000</v>
      </c>
      <c r="BG12" s="2">
        <f>SUM(Y28:Y29)</f>
        <v>0.43040763179310426</v>
      </c>
      <c r="BH12" s="2">
        <f>SUM(Z28:Z29)</f>
        <v>0.32817867690440428</v>
      </c>
      <c r="BI12" s="2">
        <f t="shared" si="10"/>
        <v>-23.751659435686111</v>
      </c>
      <c r="BJ12" t="s">
        <v>207</v>
      </c>
      <c r="BK12">
        <v>2000</v>
      </c>
      <c r="BL12" s="2">
        <f>SUM(AD28:AD29)</f>
        <v>0.32945411274584846</v>
      </c>
      <c r="BM12" s="2">
        <f>SUM(AE28:AE29)</f>
        <v>0.41757626452105862</v>
      </c>
      <c r="BN12" s="2">
        <f t="shared" si="11"/>
        <v>26.747928881734865</v>
      </c>
      <c r="BU12" s="2"/>
      <c r="BZ12" s="2"/>
      <c r="CE12" s="2"/>
    </row>
    <row r="13" spans="1:83" x14ac:dyDescent="0.45">
      <c r="A13" t="s">
        <v>54</v>
      </c>
      <c r="B13">
        <v>1991</v>
      </c>
      <c r="C13" s="2">
        <v>0.17933267796163568</v>
      </c>
      <c r="D13" s="2">
        <v>0.15169711155106083</v>
      </c>
      <c r="E13" s="2">
        <f t="shared" si="0"/>
        <v>-15.410223459935661</v>
      </c>
      <c r="F13" t="s">
        <v>54</v>
      </c>
      <c r="G13">
        <v>1991</v>
      </c>
      <c r="H13" s="2">
        <v>0.17450796012661313</v>
      </c>
      <c r="I13" s="2">
        <v>0.15033294636363798</v>
      </c>
      <c r="J13" s="2">
        <f t="shared" si="1"/>
        <v>-13.853244141662721</v>
      </c>
      <c r="K13" t="s">
        <v>54</v>
      </c>
      <c r="L13">
        <v>1991</v>
      </c>
      <c r="M13" s="2">
        <v>0.14192496219773795</v>
      </c>
      <c r="N13" s="2">
        <v>2.4336894984891704E-2</v>
      </c>
      <c r="O13" s="2">
        <f t="shared" si="2"/>
        <v>-82.852280100674506</v>
      </c>
      <c r="P13" s="2"/>
      <c r="Q13" s="2"/>
      <c r="R13" t="s">
        <v>54</v>
      </c>
      <c r="S13">
        <v>1991</v>
      </c>
      <c r="T13" s="2">
        <v>0.19418956379298583</v>
      </c>
      <c r="U13" s="2">
        <v>0.24201992118499394</v>
      </c>
      <c r="V13" s="2">
        <f t="shared" si="12"/>
        <v>24.630755874706669</v>
      </c>
      <c r="W13" t="s">
        <v>54</v>
      </c>
      <c r="X13">
        <v>1991</v>
      </c>
      <c r="Y13" s="2">
        <v>0.18841213980609015</v>
      </c>
      <c r="Z13" s="2">
        <v>0.24082025962835774</v>
      </c>
      <c r="AA13" s="2">
        <f t="shared" si="13"/>
        <v>27.815681025758181</v>
      </c>
      <c r="AB13" t="s">
        <v>54</v>
      </c>
      <c r="AC13">
        <v>1991</v>
      </c>
      <c r="AD13" s="2">
        <v>0.2133611484578051</v>
      </c>
      <c r="AE13" s="2">
        <v>0.24626880222482403</v>
      </c>
      <c r="AF13" s="2">
        <f t="shared" si="14"/>
        <v>15.423451741274651</v>
      </c>
      <c r="AG13" s="2"/>
      <c r="AH13" s="2"/>
      <c r="AI13" t="s">
        <v>208</v>
      </c>
      <c r="AJ13">
        <v>2000</v>
      </c>
      <c r="AK13" s="2">
        <f>SUM(C30:C33)</f>
        <v>0.84709022161713521</v>
      </c>
      <c r="AL13" s="2">
        <f>SUM(D30:D33)</f>
        <v>0.88248937482487677</v>
      </c>
      <c r="AM13" s="2">
        <f t="shared" si="6"/>
        <v>4.1789117976315335</v>
      </c>
      <c r="AN13" t="s">
        <v>208</v>
      </c>
      <c r="AO13">
        <v>2000</v>
      </c>
      <c r="AP13" s="2">
        <f>SUM(H30:H33)</f>
        <v>0.81327501675625447</v>
      </c>
      <c r="AQ13" s="2">
        <f>SUM(I30:I33)</f>
        <v>0.88007185047024594</v>
      </c>
      <c r="AR13" s="2">
        <f t="shared" si="7"/>
        <v>8.2133143571052383</v>
      </c>
      <c r="AS13" t="s">
        <v>208</v>
      </c>
      <c r="AT13">
        <v>2000</v>
      </c>
      <c r="AU13" s="2">
        <f>SUM(M30:M33)</f>
        <v>0.57795931586719484</v>
      </c>
      <c r="AV13" s="2">
        <f>SUM(N30:N33)</f>
        <v>0.71235745859089483</v>
      </c>
      <c r="AW13" s="2">
        <f t="shared" si="8"/>
        <v>23.253910618612188</v>
      </c>
      <c r="AX13" s="2"/>
      <c r="AY13" s="2"/>
      <c r="AZ13" t="s">
        <v>208</v>
      </c>
      <c r="BA13">
        <v>2000</v>
      </c>
      <c r="BB13" s="2">
        <f>SUM(T30:T33)</f>
        <v>0.59418499997473517</v>
      </c>
      <c r="BC13" s="2">
        <f>SUM(U30:U33)</f>
        <v>0.65272587695208562</v>
      </c>
      <c r="BD13" s="2">
        <f t="shared" si="9"/>
        <v>9.852298018266973</v>
      </c>
      <c r="BE13" t="s">
        <v>208</v>
      </c>
      <c r="BF13">
        <v>2000</v>
      </c>
      <c r="BG13" s="2">
        <f>SUM(Y30:Y33)</f>
        <v>0.56959236820689563</v>
      </c>
      <c r="BH13" s="2">
        <f>SUM(Z30:Z33)</f>
        <v>0.67182132309559561</v>
      </c>
      <c r="BI13" s="2">
        <f t="shared" si="10"/>
        <v>17.947739575676142</v>
      </c>
      <c r="BJ13" t="s">
        <v>208</v>
      </c>
      <c r="BK13">
        <v>2000</v>
      </c>
      <c r="BL13" s="2">
        <f>SUM(AD30:AD33)</f>
        <v>0.67054588725415154</v>
      </c>
      <c r="BM13" s="2">
        <f>SUM(AE30:AE33)</f>
        <v>0.58242373547894122</v>
      </c>
      <c r="BN13" s="2">
        <f t="shared" si="11"/>
        <v>-13.141852548833858</v>
      </c>
      <c r="BU13" s="2"/>
      <c r="BZ13" s="2"/>
      <c r="CE13" s="2"/>
    </row>
    <row r="14" spans="1:83" x14ac:dyDescent="0.45">
      <c r="A14" t="s">
        <v>55</v>
      </c>
      <c r="B14">
        <v>1991</v>
      </c>
      <c r="C14" s="2">
        <v>0.33856210940181775</v>
      </c>
      <c r="D14" s="2">
        <v>0.4198009694864141</v>
      </c>
      <c r="E14" s="2">
        <f t="shared" si="0"/>
        <v>23.995260493896303</v>
      </c>
      <c r="F14" t="s">
        <v>55</v>
      </c>
      <c r="G14">
        <v>1991</v>
      </c>
      <c r="H14" s="2">
        <v>0.31186344845115693</v>
      </c>
      <c r="I14" s="2">
        <v>0.4159181263245787</v>
      </c>
      <c r="J14" s="2">
        <f t="shared" si="1"/>
        <v>33.365461194699286</v>
      </c>
      <c r="K14" t="s">
        <v>55</v>
      </c>
      <c r="L14">
        <v>1991</v>
      </c>
      <c r="M14" s="2">
        <v>0.13155810330861539</v>
      </c>
      <c r="N14" s="2">
        <v>5.7293737559429604E-2</v>
      </c>
      <c r="O14" s="2">
        <f t="shared" si="2"/>
        <v>-56.449860465814737</v>
      </c>
      <c r="P14" s="2"/>
      <c r="Q14" s="2"/>
      <c r="R14" t="s">
        <v>55</v>
      </c>
      <c r="S14">
        <v>1991</v>
      </c>
      <c r="T14" s="2">
        <v>0.14226531766380368</v>
      </c>
      <c r="U14" s="2">
        <v>0.16969682706897912</v>
      </c>
      <c r="V14" s="2">
        <f t="shared" si="12"/>
        <v>19.281937337672563</v>
      </c>
      <c r="W14" t="s">
        <v>55</v>
      </c>
      <c r="X14">
        <v>1991</v>
      </c>
      <c r="Y14" s="2">
        <v>0.14057832588814459</v>
      </c>
      <c r="Z14" s="2">
        <v>0.17629626910898752</v>
      </c>
      <c r="AA14" s="2">
        <f t="shared" si="13"/>
        <v>25.407859280713726</v>
      </c>
      <c r="AB14" t="s">
        <v>55</v>
      </c>
      <c r="AC14">
        <v>1991</v>
      </c>
      <c r="AD14" s="2">
        <v>0.1478633671975163</v>
      </c>
      <c r="AE14" s="2">
        <v>0.14632336477693661</v>
      </c>
      <c r="AF14" s="2">
        <f t="shared" si="14"/>
        <v>-1.0415036866586131</v>
      </c>
      <c r="AG14" s="2"/>
      <c r="AH14" s="2"/>
      <c r="AI14" t="s">
        <v>207</v>
      </c>
      <c r="AJ14">
        <v>2003</v>
      </c>
      <c r="AK14" s="2">
        <f>SUM(C34:C35)</f>
        <v>0.18380242038494829</v>
      </c>
      <c r="AL14" s="2">
        <f>SUM(D34:D35)</f>
        <v>0.17200727790367734</v>
      </c>
      <c r="AM14" s="2">
        <f t="shared" si="6"/>
        <v>-6.4172944276618793</v>
      </c>
      <c r="AN14" t="s">
        <v>207</v>
      </c>
      <c r="AO14">
        <v>2003</v>
      </c>
      <c r="AP14" s="2">
        <f>SUM(H34:H35)</f>
        <v>0.22035873835968062</v>
      </c>
      <c r="AQ14" s="2">
        <f>SUM(I34:I35)</f>
        <v>0.17343329549614472</v>
      </c>
      <c r="AR14" s="2">
        <f t="shared" si="7"/>
        <v>-21.295022476913001</v>
      </c>
      <c r="AS14" t="s">
        <v>207</v>
      </c>
      <c r="AT14">
        <v>2003</v>
      </c>
      <c r="AU14" s="2">
        <f>SUM(M34:M35)</f>
        <v>0.43603035720031796</v>
      </c>
      <c r="AV14" s="2">
        <f>SUM(N34:N35)</f>
        <v>0.31583027595981855</v>
      </c>
      <c r="AW14" s="2">
        <f t="shared" si="8"/>
        <v>-27.566906582441906</v>
      </c>
      <c r="AX14" s="2"/>
      <c r="AY14" s="2"/>
      <c r="AZ14" t="s">
        <v>207</v>
      </c>
      <c r="BA14">
        <v>2003</v>
      </c>
      <c r="BB14" s="2">
        <f>SUM(T34:T35)</f>
        <v>0.44250475667638334</v>
      </c>
      <c r="BC14" s="2">
        <f>SUM(U34:U35)</f>
        <v>0.39929223606937925</v>
      </c>
      <c r="BD14" s="2">
        <f t="shared" si="9"/>
        <v>-9.7654364060557821</v>
      </c>
      <c r="BE14" t="s">
        <v>207</v>
      </c>
      <c r="BF14">
        <v>2003</v>
      </c>
      <c r="BG14" s="2">
        <f>SUM(Y34:Y35)</f>
        <v>0.4758622867119322</v>
      </c>
      <c r="BH14" s="2">
        <f>SUM(Z34:Z35)</f>
        <v>0.38527450994203666</v>
      </c>
      <c r="BI14" s="2">
        <f t="shared" si="10"/>
        <v>-19.036553074174112</v>
      </c>
      <c r="BJ14" t="s">
        <v>207</v>
      </c>
      <c r="BK14">
        <v>2003</v>
      </c>
      <c r="BL14" s="2">
        <f>SUM(AD34:AD35)</f>
        <v>0.31548598463678834</v>
      </c>
      <c r="BM14" s="2">
        <f>SUM(AE34:AE35)</f>
        <v>0.28423570419284344</v>
      </c>
      <c r="BN14" s="2">
        <f t="shared" si="11"/>
        <v>-9.9054417520076594</v>
      </c>
      <c r="BU14" s="2"/>
      <c r="BZ14" s="2"/>
      <c r="CE14" s="2"/>
    </row>
    <row r="15" spans="1:83" x14ac:dyDescent="0.45">
      <c r="A15" t="s">
        <v>56</v>
      </c>
      <c r="B15">
        <v>1991</v>
      </c>
      <c r="C15" s="2">
        <v>0.18386573144762491</v>
      </c>
      <c r="D15" s="2">
        <v>0.10910498177456907</v>
      </c>
      <c r="E15" s="2">
        <f t="shared" si="0"/>
        <v>-40.660513019171177</v>
      </c>
      <c r="F15" t="s">
        <v>56</v>
      </c>
      <c r="G15">
        <v>1991</v>
      </c>
      <c r="H15" s="2">
        <v>0.17073923199720281</v>
      </c>
      <c r="I15" s="2">
        <v>0.10825396967162482</v>
      </c>
      <c r="J15" s="2">
        <f t="shared" si="1"/>
        <v>-36.596897850988157</v>
      </c>
      <c r="K15" t="s">
        <v>56</v>
      </c>
      <c r="L15">
        <v>1991</v>
      </c>
      <c r="M15" s="2">
        <v>8.2091414854030306E-2</v>
      </c>
      <c r="N15" s="2">
        <v>2.9653397222579318E-2</v>
      </c>
      <c r="O15" s="2">
        <f t="shared" si="2"/>
        <v>-63.877590275052412</v>
      </c>
      <c r="P15" s="2"/>
      <c r="Q15" s="2"/>
      <c r="R15" t="s">
        <v>56</v>
      </c>
      <c r="S15">
        <v>1991</v>
      </c>
      <c r="T15" s="2">
        <v>2.156478000333089E-2</v>
      </c>
      <c r="U15" s="2">
        <v>3.906640118512747E-2</v>
      </c>
      <c r="V15" s="2">
        <f t="shared" si="12"/>
        <v>81.158357187475531</v>
      </c>
      <c r="W15" t="s">
        <v>56</v>
      </c>
      <c r="X15">
        <v>1991</v>
      </c>
      <c r="Y15" s="2">
        <v>2.1711813966398843E-2</v>
      </c>
      <c r="Z15" s="2">
        <v>3.4744298058702945E-2</v>
      </c>
      <c r="AA15" s="2">
        <f t="shared" si="13"/>
        <v>60.024851504683795</v>
      </c>
      <c r="AB15" t="s">
        <v>56</v>
      </c>
      <c r="AC15">
        <v>1991</v>
      </c>
      <c r="AD15" s="2">
        <v>2.1076868076154536E-2</v>
      </c>
      <c r="AE15" s="2">
        <v>5.437413687480612E-2</v>
      </c>
      <c r="AF15" s="2">
        <f t="shared" si="14"/>
        <v>157.98015472859879</v>
      </c>
      <c r="AG15" s="2"/>
      <c r="AH15" s="2"/>
      <c r="AI15" t="s">
        <v>208</v>
      </c>
      <c r="AJ15">
        <v>2003</v>
      </c>
      <c r="AK15" s="2">
        <f>SUM(C36:C39)</f>
        <v>0.81619757961505179</v>
      </c>
      <c r="AL15" s="2">
        <f>SUM(D36:D39)</f>
        <v>0.8279927220963228</v>
      </c>
      <c r="AM15" s="2">
        <f t="shared" si="6"/>
        <v>1.4451332343859704</v>
      </c>
      <c r="AN15" t="s">
        <v>208</v>
      </c>
      <c r="AO15">
        <v>2003</v>
      </c>
      <c r="AP15" s="2">
        <f>SUM(H36:H39)</f>
        <v>0.77964126164031955</v>
      </c>
      <c r="AQ15" s="2">
        <f>SUM(I36:I39)</f>
        <v>0.82656670450385528</v>
      </c>
      <c r="AR15" s="2">
        <f t="shared" si="7"/>
        <v>6.0188506140384801</v>
      </c>
      <c r="AS15" t="s">
        <v>208</v>
      </c>
      <c r="AT15">
        <v>2003</v>
      </c>
      <c r="AU15" s="2">
        <f>SUM(M36:M39)</f>
        <v>0.56396964279968209</v>
      </c>
      <c r="AV15" s="2">
        <f>SUM(N36:N39)</f>
        <v>0.68416972404018161</v>
      </c>
      <c r="AW15" s="2">
        <f t="shared" si="8"/>
        <v>21.3132183221418</v>
      </c>
      <c r="AX15" s="2"/>
      <c r="AY15" s="2"/>
      <c r="AZ15" t="s">
        <v>208</v>
      </c>
      <c r="BA15">
        <v>2003</v>
      </c>
      <c r="BB15" s="2">
        <f>SUM(T36:T39)</f>
        <v>0.55749524332361655</v>
      </c>
      <c r="BC15" s="2">
        <f>SUM(U36:U39)</f>
        <v>0.60070776393062086</v>
      </c>
      <c r="BD15" s="2">
        <f t="shared" si="9"/>
        <v>7.7511909069186746</v>
      </c>
      <c r="BE15" t="s">
        <v>208</v>
      </c>
      <c r="BF15">
        <v>2003</v>
      </c>
      <c r="BG15" s="2">
        <f>SUM(Y36:Y39)</f>
        <v>0.5241377132880678</v>
      </c>
      <c r="BH15" s="2">
        <f>SUM(Z36:Z39)</f>
        <v>0.61472549005796351</v>
      </c>
      <c r="BI15" s="2">
        <f t="shared" si="10"/>
        <v>17.283201432236641</v>
      </c>
      <c r="BJ15" t="s">
        <v>208</v>
      </c>
      <c r="BK15">
        <v>2003</v>
      </c>
      <c r="BL15" s="2">
        <f>SUM(AD36:AD39)</f>
        <v>0.68451401536321166</v>
      </c>
      <c r="BM15" s="2">
        <f>SUM(AE36:AE39)</f>
        <v>0.71576429580715673</v>
      </c>
      <c r="BN15" s="2">
        <f t="shared" si="11"/>
        <v>4.565323681117512</v>
      </c>
      <c r="BU15" s="2"/>
      <c r="BZ15" s="2"/>
      <c r="CE15" s="2"/>
    </row>
    <row r="16" spans="1:83" x14ac:dyDescent="0.45">
      <c r="A16" t="s">
        <v>49</v>
      </c>
      <c r="B16">
        <v>1994</v>
      </c>
      <c r="C16" s="2">
        <v>2.4960035063155653E-2</v>
      </c>
      <c r="D16" s="2">
        <v>3.3837357361275362E-2</v>
      </c>
      <c r="E16" s="2">
        <f t="shared" si="0"/>
        <v>35.566145142255124</v>
      </c>
      <c r="F16" t="s">
        <v>49</v>
      </c>
      <c r="G16">
        <v>1994</v>
      </c>
      <c r="H16" s="2">
        <v>5.7920429186486856E-2</v>
      </c>
      <c r="I16" s="2">
        <v>3.9315426980189451E-2</v>
      </c>
      <c r="J16" s="2">
        <f t="shared" si="1"/>
        <v>-32.12165805331783</v>
      </c>
      <c r="K16" t="s">
        <v>49</v>
      </c>
      <c r="L16">
        <v>1994</v>
      </c>
      <c r="M16" s="2">
        <v>0.31872083798990375</v>
      </c>
      <c r="N16" s="2">
        <v>0.30331711677342488</v>
      </c>
      <c r="O16" s="2">
        <f t="shared" si="2"/>
        <v>-4.8329821525402812</v>
      </c>
      <c r="P16" s="2"/>
      <c r="Q16" s="2"/>
      <c r="R16" t="s">
        <v>49</v>
      </c>
      <c r="S16">
        <v>1994</v>
      </c>
      <c r="T16" s="2">
        <v>0.1881640659688682</v>
      </c>
      <c r="U16" s="2">
        <v>0.13459380029545887</v>
      </c>
      <c r="V16" s="2">
        <f t="shared" si="12"/>
        <v>-28.469976665083625</v>
      </c>
      <c r="W16" t="s">
        <v>49</v>
      </c>
      <c r="X16">
        <v>1994</v>
      </c>
      <c r="Y16" s="2">
        <v>0.19243727355600737</v>
      </c>
      <c r="Z16" s="2">
        <v>0.10556555888673171</v>
      </c>
      <c r="AA16" s="2">
        <f t="shared" si="13"/>
        <v>-45.142873344644599</v>
      </c>
      <c r="AB16" t="s">
        <v>49</v>
      </c>
      <c r="AC16">
        <v>1994</v>
      </c>
      <c r="AD16" s="2">
        <v>0.17432864501846004</v>
      </c>
      <c r="AE16" s="2">
        <v>0.2454641994412296</v>
      </c>
      <c r="AF16" s="2">
        <f t="shared" ref="AF16:AF63" si="15">100*(AE16-AD16)/AD16</f>
        <v>40.805430693984263</v>
      </c>
      <c r="AG16" s="2"/>
      <c r="AH16" s="2"/>
      <c r="AI16" t="s">
        <v>207</v>
      </c>
      <c r="AJ16">
        <v>2006</v>
      </c>
      <c r="AK16" s="2">
        <f>SUM(C40:C41)</f>
        <v>0.17917783838933604</v>
      </c>
      <c r="AL16" s="2">
        <f>SUM(D40:D41)</f>
        <v>0.11228157984748699</v>
      </c>
      <c r="AM16" s="2">
        <f t="shared" si="6"/>
        <v>-37.335118641452738</v>
      </c>
      <c r="AN16" t="s">
        <v>207</v>
      </c>
      <c r="AO16">
        <v>2006</v>
      </c>
      <c r="AP16" s="2">
        <f>SUM(H40:H41)</f>
        <v>0.21584940696808813</v>
      </c>
      <c r="AQ16" s="2">
        <f>SUM(I40:I41)</f>
        <v>0.11774637785097636</v>
      </c>
      <c r="AR16" s="2">
        <f t="shared" si="7"/>
        <v>-45.449756149487889</v>
      </c>
      <c r="AS16" t="s">
        <v>207</v>
      </c>
      <c r="AT16">
        <v>2006</v>
      </c>
      <c r="AU16" s="2">
        <f>SUM(M40:M41)</f>
        <v>0.42767631445009124</v>
      </c>
      <c r="AV16" s="2">
        <f>SUM(N40:N41)</f>
        <v>0.4122065186267006</v>
      </c>
      <c r="AW16" s="2">
        <f t="shared" si="8"/>
        <v>-3.6171738533806339</v>
      </c>
      <c r="AX16" s="2"/>
      <c r="AY16" s="2"/>
      <c r="AZ16" t="s">
        <v>207</v>
      </c>
      <c r="BA16">
        <v>2006</v>
      </c>
      <c r="BB16" s="2">
        <f>SUM(T40:T41)</f>
        <v>0.45023811557120957</v>
      </c>
      <c r="BC16" s="2">
        <f>SUM(U40:U41)</f>
        <v>0.3075838546467754</v>
      </c>
      <c r="BD16" s="2">
        <f t="shared" si="9"/>
        <v>-31.684181323354</v>
      </c>
      <c r="BE16" t="s">
        <v>207</v>
      </c>
      <c r="BF16">
        <v>2006</v>
      </c>
      <c r="BG16" s="2">
        <f>SUM(Y40:Y41)</f>
        <v>0.48570928459574647</v>
      </c>
      <c r="BH16" s="2">
        <f>SUM(Z40:Z41)</f>
        <v>0.30379801622232555</v>
      </c>
      <c r="BI16" s="2">
        <f t="shared" si="10"/>
        <v>-37.452705588040139</v>
      </c>
      <c r="BJ16" t="s">
        <v>207</v>
      </c>
      <c r="BK16">
        <v>2006</v>
      </c>
      <c r="BL16" s="2">
        <f>SUM(AD40:AD41)</f>
        <v>0.3446742802766336</v>
      </c>
      <c r="BM16" s="2">
        <f>SUM(AE40:AE41)</f>
        <v>0.32401980806694497</v>
      </c>
      <c r="BN16" s="2">
        <f t="shared" si="11"/>
        <v>-5.9924611123033236</v>
      </c>
      <c r="BU16" s="2"/>
      <c r="BZ16" s="2"/>
      <c r="CE16" s="2"/>
    </row>
    <row r="17" spans="1:83" x14ac:dyDescent="0.45">
      <c r="A17" t="s">
        <v>51</v>
      </c>
      <c r="B17">
        <v>1994</v>
      </c>
      <c r="C17" s="2">
        <v>0.11379066804895643</v>
      </c>
      <c r="D17" s="2">
        <v>0.10659043940527552</v>
      </c>
      <c r="E17" s="2">
        <f t="shared" si="0"/>
        <v>-6.3276090800197649</v>
      </c>
      <c r="F17" t="s">
        <v>51</v>
      </c>
      <c r="G17">
        <v>1994</v>
      </c>
      <c r="H17" s="2">
        <v>0.11591735931617868</v>
      </c>
      <c r="I17" s="2">
        <v>0.10475102748547511</v>
      </c>
      <c r="J17" s="2">
        <f t="shared" si="1"/>
        <v>-9.6330108765211229</v>
      </c>
      <c r="K17" t="s">
        <v>51</v>
      </c>
      <c r="L17">
        <v>1994</v>
      </c>
      <c r="M17" s="2">
        <v>0.13274488722178732</v>
      </c>
      <c r="N17" s="2">
        <v>1.6105229086624612E-2</v>
      </c>
      <c r="O17" s="2">
        <f t="shared" si="2"/>
        <v>-87.867533414137199</v>
      </c>
      <c r="P17" s="2"/>
      <c r="Q17" s="2"/>
      <c r="R17" t="s">
        <v>51</v>
      </c>
      <c r="S17">
        <v>1994</v>
      </c>
      <c r="T17" s="2">
        <v>0.19961540952403761</v>
      </c>
      <c r="U17" s="2">
        <v>0.1994437429908201</v>
      </c>
      <c r="V17" s="2">
        <f t="shared" si="12"/>
        <v>-8.5998637894155489E-2</v>
      </c>
      <c r="W17" t="s">
        <v>51</v>
      </c>
      <c r="X17">
        <v>1994</v>
      </c>
      <c r="Y17" s="2">
        <v>0.21177380194290618</v>
      </c>
      <c r="Z17" s="2">
        <v>0.19569730333067892</v>
      </c>
      <c r="AA17" s="2">
        <f t="shared" si="13"/>
        <v>-7.5913538240964558</v>
      </c>
      <c r="AB17" t="s">
        <v>51</v>
      </c>
      <c r="AC17">
        <v>1994</v>
      </c>
      <c r="AD17" s="2">
        <v>0.16025002093360988</v>
      </c>
      <c r="AE17" s="2">
        <v>0.21375288609896984</v>
      </c>
      <c r="AF17" s="2">
        <f t="shared" si="15"/>
        <v>33.387118986727437</v>
      </c>
      <c r="AG17" s="2"/>
      <c r="AH17" s="2"/>
      <c r="AI17" t="s">
        <v>208</v>
      </c>
      <c r="AJ17">
        <v>2006</v>
      </c>
      <c r="AK17" s="2">
        <f>SUM(C42:C45)</f>
        <v>0.82082216161066401</v>
      </c>
      <c r="AL17" s="2">
        <f>SUM(D42:D45)</f>
        <v>0.88771842015251301</v>
      </c>
      <c r="AM17" s="2">
        <f t="shared" si="6"/>
        <v>8.1499089170035752</v>
      </c>
      <c r="AN17" t="s">
        <v>208</v>
      </c>
      <c r="AO17">
        <v>2006</v>
      </c>
      <c r="AP17" s="2">
        <f>SUM(H42:H45)</f>
        <v>0.78415059303191192</v>
      </c>
      <c r="AQ17" s="2">
        <f>SUM(I42:I45)</f>
        <v>0.88225362214902348</v>
      </c>
      <c r="AR17" s="2">
        <f t="shared" si="7"/>
        <v>12.51073836950081</v>
      </c>
      <c r="AS17" t="s">
        <v>208</v>
      </c>
      <c r="AT17">
        <v>2006</v>
      </c>
      <c r="AU17" s="2">
        <f>SUM(M42:M45)</f>
        <v>0.57232368554990887</v>
      </c>
      <c r="AV17" s="2">
        <f>SUM(N42:N45)</f>
        <v>0.58779348137329934</v>
      </c>
      <c r="AW17" s="2">
        <f t="shared" si="8"/>
        <v>2.7029801865576379</v>
      </c>
      <c r="AX17" s="2"/>
      <c r="AY17" s="2"/>
      <c r="AZ17" t="s">
        <v>208</v>
      </c>
      <c r="BA17">
        <v>2006</v>
      </c>
      <c r="BB17" s="2">
        <f>SUM(T42:T45)</f>
        <v>0.54976188442879037</v>
      </c>
      <c r="BC17" s="2">
        <f>SUM(U42:U45)</f>
        <v>0.69241614535322482</v>
      </c>
      <c r="BD17" s="2">
        <f t="shared" si="9"/>
        <v>25.948372370822696</v>
      </c>
      <c r="BE17" t="s">
        <v>208</v>
      </c>
      <c r="BF17">
        <v>2006</v>
      </c>
      <c r="BG17" s="2">
        <f>SUM(Y42:Y45)</f>
        <v>0.51429071540425342</v>
      </c>
      <c r="BH17" s="2">
        <f>SUM(Z42:Z45)</f>
        <v>0.6962019837776745</v>
      </c>
      <c r="BI17" s="2">
        <f t="shared" si="10"/>
        <v>35.371291552567001</v>
      </c>
      <c r="BJ17" t="s">
        <v>208</v>
      </c>
      <c r="BK17">
        <v>2006</v>
      </c>
      <c r="BL17" s="2">
        <f>SUM(AD42:AD45)</f>
        <v>0.6553257197233664</v>
      </c>
      <c r="BM17" s="2">
        <f>SUM(AE42:AE45)</f>
        <v>0.67598019193305481</v>
      </c>
      <c r="BN17" s="2">
        <f t="shared" si="11"/>
        <v>3.1517872087192482</v>
      </c>
      <c r="BU17" s="2"/>
      <c r="BZ17" s="2"/>
      <c r="CE17" s="2"/>
    </row>
    <row r="18" spans="1:83" x14ac:dyDescent="0.45">
      <c r="A18" t="s">
        <v>53</v>
      </c>
      <c r="B18">
        <v>1994</v>
      </c>
      <c r="C18" s="2">
        <v>0.16936105119813097</v>
      </c>
      <c r="D18" s="2">
        <v>0.16281476535252939</v>
      </c>
      <c r="E18" s="2">
        <f t="shared" si="0"/>
        <v>-3.8652841366361437</v>
      </c>
      <c r="F18" t="s">
        <v>53</v>
      </c>
      <c r="G18">
        <v>1994</v>
      </c>
      <c r="H18" s="2">
        <v>0.17057082493371023</v>
      </c>
      <c r="I18" s="2">
        <v>0.16501689562781041</v>
      </c>
      <c r="J18" s="2">
        <f t="shared" si="1"/>
        <v>-3.2560839803983295</v>
      </c>
      <c r="K18" t="s">
        <v>53</v>
      </c>
      <c r="L18">
        <v>1994</v>
      </c>
      <c r="M18" s="2">
        <v>0.18014320697556707</v>
      </c>
      <c r="N18" s="2">
        <v>0.27114298643391216</v>
      </c>
      <c r="O18" s="2">
        <f t="shared" si="2"/>
        <v>50.515243392268154</v>
      </c>
      <c r="P18" s="2"/>
      <c r="Q18" s="2"/>
      <c r="R18" t="s">
        <v>53</v>
      </c>
      <c r="S18">
        <v>1994</v>
      </c>
      <c r="T18" s="2">
        <v>0.25679730494677305</v>
      </c>
      <c r="U18" s="2">
        <v>0.26720277975447976</v>
      </c>
      <c r="V18" s="2">
        <f t="shared" si="12"/>
        <v>4.0520186961710793</v>
      </c>
      <c r="W18" t="s">
        <v>53</v>
      </c>
      <c r="X18">
        <v>1994</v>
      </c>
      <c r="Y18" s="2">
        <v>0.2512656447789362</v>
      </c>
      <c r="Z18" s="2">
        <v>0.27068434395376534</v>
      </c>
      <c r="AA18" s="2">
        <f t="shared" si="13"/>
        <v>7.7283542650304335</v>
      </c>
      <c r="AB18" t="s">
        <v>53</v>
      </c>
      <c r="AC18">
        <v>1994</v>
      </c>
      <c r="AD18" s="2">
        <v>0.27470723452917073</v>
      </c>
      <c r="AE18" s="2">
        <v>0.25390530137846018</v>
      </c>
      <c r="AF18" s="2">
        <f t="shared" si="15"/>
        <v>-7.5724009185137149</v>
      </c>
      <c r="AG18" s="2"/>
      <c r="AH18" s="2"/>
      <c r="AI18" t="s">
        <v>207</v>
      </c>
      <c r="AJ18">
        <v>2009</v>
      </c>
      <c r="AK18" s="2">
        <f>SUM(C46:C47)</f>
        <v>0.18550210821452429</v>
      </c>
      <c r="AL18" s="2">
        <f>SUM(D46:D47)</f>
        <v>0.17502465256956681</v>
      </c>
      <c r="AM18" s="2">
        <f t="shared" si="6"/>
        <v>-5.6481598758116531</v>
      </c>
      <c r="AN18" t="s">
        <v>207</v>
      </c>
      <c r="AO18">
        <v>2009</v>
      </c>
      <c r="AP18" s="2">
        <f>SUM(H46:H47)</f>
        <v>0.26255873604010366</v>
      </c>
      <c r="AQ18" s="2">
        <f>SUM(I46:I47)</f>
        <v>0.18147410221706567</v>
      </c>
      <c r="AR18" s="2">
        <f t="shared" si="7"/>
        <v>-30.882474164048762</v>
      </c>
      <c r="AS18" t="s">
        <v>207</v>
      </c>
      <c r="AT18">
        <v>2009</v>
      </c>
      <c r="AU18" s="2">
        <f>SUM(M46:M47)</f>
        <v>0.55795955421607446</v>
      </c>
      <c r="AV18" s="2">
        <f>SUM(N46:N47)</f>
        <v>0.3258141834600376</v>
      </c>
      <c r="AW18" s="2">
        <f t="shared" si="8"/>
        <v>-41.606128795876245</v>
      </c>
      <c r="AX18" s="2"/>
      <c r="AY18" s="2"/>
      <c r="AZ18" t="s">
        <v>207</v>
      </c>
      <c r="BA18">
        <v>2009</v>
      </c>
      <c r="BB18" s="2">
        <f>SUM(T46:T47)</f>
        <v>0.48757882963011034</v>
      </c>
      <c r="BC18" s="2">
        <f>SUM(U46:U47)</f>
        <v>0.3740149726191343</v>
      </c>
      <c r="BD18" s="2">
        <f t="shared" si="9"/>
        <v>-23.291383897272254</v>
      </c>
      <c r="BE18" t="s">
        <v>207</v>
      </c>
      <c r="BF18">
        <v>2009</v>
      </c>
      <c r="BG18" s="2">
        <f>SUM(Y46:Y47)</f>
        <v>0.52563777953934721</v>
      </c>
      <c r="BH18" s="2">
        <f>SUM(Z46:Z47)</f>
        <v>0.36789008187814098</v>
      </c>
      <c r="BI18" s="2">
        <f t="shared" si="10"/>
        <v>-30.010722935374137</v>
      </c>
      <c r="BJ18" t="s">
        <v>207</v>
      </c>
      <c r="BK18">
        <v>2009</v>
      </c>
      <c r="BL18" s="2">
        <f>SUM(AD46:AD47)</f>
        <v>0.37461335623087627</v>
      </c>
      <c r="BM18" s="2">
        <f>SUM(AE46:AE47)</f>
        <v>0.39839853602301922</v>
      </c>
      <c r="BN18" s="2">
        <f t="shared" si="11"/>
        <v>6.3492610171336263</v>
      </c>
      <c r="BU18" s="2"/>
      <c r="BZ18" s="2"/>
      <c r="CE18" s="2"/>
    </row>
    <row r="19" spans="1:83" x14ac:dyDescent="0.45">
      <c r="A19" t="s">
        <v>54</v>
      </c>
      <c r="B19">
        <v>1994</v>
      </c>
      <c r="C19" s="2">
        <v>0.17633219384862553</v>
      </c>
      <c r="D19" s="2">
        <v>0.15187524348678463</v>
      </c>
      <c r="E19" s="2">
        <f t="shared" si="0"/>
        <v>-13.869815731344135</v>
      </c>
      <c r="F19" t="s">
        <v>54</v>
      </c>
      <c r="G19">
        <v>1994</v>
      </c>
      <c r="H19" s="2">
        <v>0.17370270353070277</v>
      </c>
      <c r="I19" s="2">
        <v>0.15003362491735087</v>
      </c>
      <c r="J19" s="2">
        <f t="shared" si="1"/>
        <v>-13.626200474863815</v>
      </c>
      <c r="K19" t="s">
        <v>54</v>
      </c>
      <c r="L19">
        <v>1994</v>
      </c>
      <c r="M19" s="2">
        <v>0.15289675845332118</v>
      </c>
      <c r="N19" s="2">
        <v>6.128148262867892E-2</v>
      </c>
      <c r="O19" s="2">
        <f t="shared" si="2"/>
        <v>-59.919697939581944</v>
      </c>
      <c r="P19" s="2"/>
      <c r="Q19" s="2"/>
      <c r="R19" t="s">
        <v>54</v>
      </c>
      <c r="S19">
        <v>1994</v>
      </c>
      <c r="T19" s="2">
        <v>0.19188946234036272</v>
      </c>
      <c r="U19" s="2">
        <v>0.21463110658831894</v>
      </c>
      <c r="V19" s="2">
        <f t="shared" si="12"/>
        <v>11.851429448282245</v>
      </c>
      <c r="W19" t="s">
        <v>54</v>
      </c>
      <c r="X19">
        <v>1994</v>
      </c>
      <c r="Y19" s="2">
        <v>0.18059435662092177</v>
      </c>
      <c r="Z19" s="2">
        <v>0.22201130524489238</v>
      </c>
      <c r="AA19" s="2">
        <f t="shared" si="13"/>
        <v>22.9336892906943</v>
      </c>
      <c r="AB19" t="s">
        <v>54</v>
      </c>
      <c r="AC19">
        <v>1994</v>
      </c>
      <c r="AD19" s="2">
        <v>0.22845977612014562</v>
      </c>
      <c r="AE19" s="2">
        <v>0.18644319264244077</v>
      </c>
      <c r="AF19" s="2">
        <f t="shared" si="15"/>
        <v>-18.391239014262439</v>
      </c>
      <c r="AG19" s="2"/>
      <c r="AH19" s="2"/>
      <c r="AI19" t="s">
        <v>208</v>
      </c>
      <c r="AJ19">
        <v>2009</v>
      </c>
      <c r="AK19" s="2">
        <f>SUM(C48:C51)</f>
        <v>0.8144978917854756</v>
      </c>
      <c r="AL19" s="2">
        <f>SUM(D48:D51)</f>
        <v>0.82497534743043321</v>
      </c>
      <c r="AM19" s="2">
        <f t="shared" si="6"/>
        <v>1.2863698912700425</v>
      </c>
      <c r="AN19" t="s">
        <v>208</v>
      </c>
      <c r="AO19">
        <v>2009</v>
      </c>
      <c r="AP19" s="2">
        <f>SUM(H48:H51)</f>
        <v>0.73744126395989618</v>
      </c>
      <c r="AQ19" s="2">
        <f>SUM(I48:I51)</f>
        <v>0.81852589778293428</v>
      </c>
      <c r="AR19" s="2">
        <f t="shared" si="7"/>
        <v>10.995402316874918</v>
      </c>
      <c r="AS19" t="s">
        <v>208</v>
      </c>
      <c r="AT19">
        <v>2009</v>
      </c>
      <c r="AU19" s="2">
        <f>SUM(M48:M51)</f>
        <v>0.44204044578392554</v>
      </c>
      <c r="AV19" s="2">
        <f>SUM(N48:N51)</f>
        <v>0.67418581653996235</v>
      </c>
      <c r="AW19" s="2">
        <f t="shared" si="8"/>
        <v>52.516771478760141</v>
      </c>
      <c r="AX19" s="2"/>
      <c r="AY19" s="2"/>
      <c r="AZ19" t="s">
        <v>208</v>
      </c>
      <c r="BA19">
        <v>2009</v>
      </c>
      <c r="BB19" s="2">
        <f>SUM(T48:T51)</f>
        <v>0.51242117036988966</v>
      </c>
      <c r="BC19" s="2">
        <f>SUM(U48:U51)</f>
        <v>0.6259850273808657</v>
      </c>
      <c r="BD19" s="2">
        <f t="shared" si="9"/>
        <v>22.162210224257581</v>
      </c>
      <c r="BE19" t="s">
        <v>208</v>
      </c>
      <c r="BF19">
        <v>2009</v>
      </c>
      <c r="BG19" s="2">
        <f>SUM(Y48:Y51)</f>
        <v>0.47436222046065268</v>
      </c>
      <c r="BH19" s="2">
        <f>SUM(Z48:Z51)</f>
        <v>0.63210991812185879</v>
      </c>
      <c r="BI19" s="2">
        <f t="shared" si="10"/>
        <v>33.254692481205076</v>
      </c>
      <c r="BJ19" t="s">
        <v>208</v>
      </c>
      <c r="BK19">
        <v>2009</v>
      </c>
      <c r="BL19" s="2">
        <f>SUM(AD48:AD51)</f>
        <v>0.62538664376912378</v>
      </c>
      <c r="BM19" s="2">
        <f>SUM(AE48:AE51)</f>
        <v>0.60160146397698078</v>
      </c>
      <c r="BN19" s="2">
        <f t="shared" si="11"/>
        <v>-3.803275946028017</v>
      </c>
      <c r="BU19" s="2"/>
      <c r="BZ19" s="2"/>
      <c r="CE19" s="2"/>
    </row>
    <row r="20" spans="1:83" x14ac:dyDescent="0.45">
      <c r="A20" t="s">
        <v>55</v>
      </c>
      <c r="B20">
        <v>1994</v>
      </c>
      <c r="C20" s="2">
        <v>0.33232053164977909</v>
      </c>
      <c r="D20" s="2">
        <v>0.42194144385470478</v>
      </c>
      <c r="E20" s="2">
        <f t="shared" si="0"/>
        <v>26.968214019160879</v>
      </c>
      <c r="F20" t="s">
        <v>55</v>
      </c>
      <c r="G20">
        <v>1994</v>
      </c>
      <c r="H20" s="2">
        <v>0.31087678187399498</v>
      </c>
      <c r="I20" s="2">
        <v>0.41646090512972506</v>
      </c>
      <c r="J20" s="2">
        <f t="shared" si="1"/>
        <v>33.963335125659391</v>
      </c>
      <c r="K20" t="s">
        <v>55</v>
      </c>
      <c r="L20">
        <v>1994</v>
      </c>
      <c r="M20" s="2">
        <v>0.14120227231332325</v>
      </c>
      <c r="N20" s="2">
        <v>0.15234022302368858</v>
      </c>
      <c r="O20" s="2">
        <f t="shared" si="2"/>
        <v>7.8879401357299548</v>
      </c>
      <c r="P20" s="2"/>
      <c r="Q20" s="2"/>
      <c r="R20" t="s">
        <v>55</v>
      </c>
      <c r="S20">
        <v>1994</v>
      </c>
      <c r="T20" s="2">
        <v>0.14250538649750691</v>
      </c>
      <c r="U20" s="2">
        <v>0.15706779538429749</v>
      </c>
      <c r="V20" s="2">
        <f t="shared" si="12"/>
        <v>10.218848034242797</v>
      </c>
      <c r="W20" t="s">
        <v>55</v>
      </c>
      <c r="X20">
        <v>1994</v>
      </c>
      <c r="Y20" s="2">
        <v>0.14222713570503079</v>
      </c>
      <c r="Z20" s="2">
        <v>0.17512708144985839</v>
      </c>
      <c r="AA20" s="2">
        <f t="shared" si="13"/>
        <v>23.13197519006486</v>
      </c>
      <c r="AB20" t="s">
        <v>55</v>
      </c>
      <c r="AC20">
        <v>1994</v>
      </c>
      <c r="AD20" s="2">
        <v>0.14340628278330372</v>
      </c>
      <c r="AE20" s="2">
        <v>8.8092199302392399E-2</v>
      </c>
      <c r="AF20" s="2">
        <f t="shared" si="15"/>
        <v>-38.571590035908351</v>
      </c>
      <c r="AG20" s="2"/>
      <c r="AH20" s="2"/>
      <c r="AI20" t="s">
        <v>207</v>
      </c>
      <c r="AJ20">
        <v>2012</v>
      </c>
      <c r="AK20" s="2">
        <f>SUM(C52:C53)</f>
        <v>0.22640929161807427</v>
      </c>
      <c r="AL20" s="2">
        <f>SUM(D52:D53)</f>
        <v>0.10866098911260869</v>
      </c>
      <c r="AM20" s="2">
        <f t="shared" si="6"/>
        <v>-52.006833140087316</v>
      </c>
      <c r="AN20" t="s">
        <v>207</v>
      </c>
      <c r="AO20">
        <v>2012</v>
      </c>
      <c r="AP20" s="2">
        <f>SUM(H52:H53)</f>
        <v>0.26113187706313407</v>
      </c>
      <c r="AQ20" s="2">
        <f>SUM(I52:I53)</f>
        <v>0.11133605121455516</v>
      </c>
      <c r="AR20" s="2">
        <f t="shared" si="7"/>
        <v>-57.36405203887179</v>
      </c>
      <c r="AS20" t="s">
        <v>207</v>
      </c>
      <c r="AT20">
        <v>2012</v>
      </c>
      <c r="AU20" s="2">
        <f>SUM(M52:M53)</f>
        <v>0.46324524818873425</v>
      </c>
      <c r="AV20" s="2">
        <f>SUM(N52:N53)</f>
        <v>0.3622904494996686</v>
      </c>
      <c r="AW20" s="2">
        <f t="shared" si="8"/>
        <v>-21.792948569638625</v>
      </c>
      <c r="AX20" s="2"/>
      <c r="AY20" s="2"/>
      <c r="AZ20" t="s">
        <v>207</v>
      </c>
      <c r="BA20">
        <v>2012</v>
      </c>
      <c r="BB20" s="2">
        <f>SUM(T52:T53)</f>
        <v>0.49369357311961393</v>
      </c>
      <c r="BC20" s="2">
        <f>SUM(U52:U53)</f>
        <v>0.3753212784946347</v>
      </c>
      <c r="BD20" s="2">
        <f t="shared" si="9"/>
        <v>-23.976875752502362</v>
      </c>
      <c r="BE20" t="s">
        <v>207</v>
      </c>
      <c r="BF20">
        <v>2012</v>
      </c>
      <c r="BG20" s="2">
        <f>SUM(Y52:Y53)</f>
        <v>0.53104087316347059</v>
      </c>
      <c r="BH20" s="2">
        <f>SUM(Z52:Z53)</f>
        <v>0.36754992432929934</v>
      </c>
      <c r="BI20" s="2">
        <f t="shared" si="10"/>
        <v>-30.78688611297228</v>
      </c>
      <c r="BJ20" t="s">
        <v>207</v>
      </c>
      <c r="BK20">
        <v>2012</v>
      </c>
      <c r="BL20" s="2">
        <f>SUM(AD52:AD53)</f>
        <v>0.37356277346790157</v>
      </c>
      <c r="BM20" s="2">
        <f>SUM(AE52:AE53)</f>
        <v>0.40083805737130579</v>
      </c>
      <c r="BN20" s="2">
        <f t="shared" si="11"/>
        <v>7.3013923872015205</v>
      </c>
      <c r="BU20" s="2"/>
      <c r="BZ20" s="2"/>
      <c r="CE20" s="2"/>
    </row>
    <row r="21" spans="1:83" x14ac:dyDescent="0.45">
      <c r="A21" t="s">
        <v>56</v>
      </c>
      <c r="B21">
        <v>1994</v>
      </c>
      <c r="C21" s="2">
        <v>0.18323552019135231</v>
      </c>
      <c r="D21" s="2">
        <v>0.12294075053943013</v>
      </c>
      <c r="E21" s="2">
        <f t="shared" si="0"/>
        <v>-32.905612180955167</v>
      </c>
      <c r="F21" t="s">
        <v>56</v>
      </c>
      <c r="G21">
        <v>1994</v>
      </c>
      <c r="H21" s="2">
        <v>0.1710119011589265</v>
      </c>
      <c r="I21" s="2">
        <v>0.12442211985944907</v>
      </c>
      <c r="J21" s="2">
        <f t="shared" si="1"/>
        <v>-27.243590056448856</v>
      </c>
      <c r="K21" t="s">
        <v>56</v>
      </c>
      <c r="L21">
        <v>1994</v>
      </c>
      <c r="M21" s="2">
        <v>7.4292037046097534E-2</v>
      </c>
      <c r="N21" s="2">
        <v>0.19581296205367074</v>
      </c>
      <c r="O21" s="2">
        <f t="shared" si="2"/>
        <v>163.57193831173399</v>
      </c>
      <c r="P21" s="2"/>
      <c r="Q21" s="2"/>
      <c r="R21" t="s">
        <v>56</v>
      </c>
      <c r="S21">
        <v>1994</v>
      </c>
      <c r="T21" s="2">
        <v>2.102837072245144E-2</v>
      </c>
      <c r="U21" s="2">
        <v>2.7060774986624882E-2</v>
      </c>
      <c r="V21" s="2">
        <f t="shared" si="12"/>
        <v>28.686978862003809</v>
      </c>
      <c r="W21" t="s">
        <v>56</v>
      </c>
      <c r="X21">
        <v>1994</v>
      </c>
      <c r="Y21" s="2">
        <v>2.1701787396197811E-2</v>
      </c>
      <c r="Z21" s="2">
        <v>3.091440713407316E-2</v>
      </c>
      <c r="AA21" s="2">
        <f t="shared" si="13"/>
        <v>42.450972215723645</v>
      </c>
      <c r="AB21" t="s">
        <v>56</v>
      </c>
      <c r="AC21">
        <v>1994</v>
      </c>
      <c r="AD21" s="2">
        <v>1.8848040615310032E-2</v>
      </c>
      <c r="AE21" s="2">
        <v>1.2342221136507238E-2</v>
      </c>
      <c r="AF21" s="2">
        <f t="shared" si="15"/>
        <v>-34.51721911888388</v>
      </c>
      <c r="AG21" s="2"/>
      <c r="AH21" s="2"/>
      <c r="AI21" t="s">
        <v>208</v>
      </c>
      <c r="AJ21">
        <v>2012</v>
      </c>
      <c r="AK21" s="2">
        <f>SUM(C54:C57)</f>
        <v>0.77359070838192556</v>
      </c>
      <c r="AL21" s="2">
        <f>SUM(D54:D57)</f>
        <v>0.89133901088739131</v>
      </c>
      <c r="AM21" s="2">
        <f t="shared" si="6"/>
        <v>15.221007857210823</v>
      </c>
      <c r="AN21" t="s">
        <v>208</v>
      </c>
      <c r="AO21">
        <v>2012</v>
      </c>
      <c r="AP21" s="2">
        <f>SUM(H54:H57)</f>
        <v>0.73886812293686577</v>
      </c>
      <c r="AQ21" s="2">
        <f>SUM(I54:I57)</f>
        <v>0.88866394878544497</v>
      </c>
      <c r="AR21" s="2">
        <f t="shared" si="7"/>
        <v>20.27368906553556</v>
      </c>
      <c r="AS21" t="s">
        <v>208</v>
      </c>
      <c r="AT21">
        <v>2012</v>
      </c>
      <c r="AU21" s="2">
        <f>SUM(M54:M57)</f>
        <v>0.53675475181126575</v>
      </c>
      <c r="AV21" s="2">
        <f>SUM(N54:N57)</f>
        <v>0.63770955050033151</v>
      </c>
      <c r="AW21" s="2">
        <f t="shared" si="8"/>
        <v>18.80836608309405</v>
      </c>
      <c r="AX21" s="2"/>
      <c r="AY21" s="2"/>
      <c r="AZ21" t="s">
        <v>208</v>
      </c>
      <c r="BA21">
        <v>2012</v>
      </c>
      <c r="BB21" s="2">
        <f>SUM(T54:T57)</f>
        <v>0.50630642688038618</v>
      </c>
      <c r="BC21" s="2">
        <f>SUM(U54:U57)</f>
        <v>0.6246787215053653</v>
      </c>
      <c r="BD21" s="2">
        <f t="shared" si="9"/>
        <v>23.379575755008993</v>
      </c>
      <c r="BE21" t="s">
        <v>208</v>
      </c>
      <c r="BF21">
        <v>2012</v>
      </c>
      <c r="BG21" s="2">
        <f>SUM(Y54:Y57)</f>
        <v>0.46895912683652941</v>
      </c>
      <c r="BH21" s="2">
        <f>SUM(Z54:Z57)</f>
        <v>0.63245007567070066</v>
      </c>
      <c r="BI21" s="2">
        <f t="shared" si="10"/>
        <v>34.862515617733408</v>
      </c>
      <c r="BJ21" t="s">
        <v>208</v>
      </c>
      <c r="BK21">
        <v>2012</v>
      </c>
      <c r="BL21" s="2">
        <f>SUM(AD54:AD57)</f>
        <v>0.62643722653209832</v>
      </c>
      <c r="BM21" s="2">
        <f>SUM(AE54:AE57)</f>
        <v>0.59916194262869427</v>
      </c>
      <c r="BN21" s="2">
        <f t="shared" si="11"/>
        <v>-4.3540330536225698</v>
      </c>
      <c r="BU21" s="2"/>
      <c r="BZ21" s="2"/>
      <c r="CE21" s="2"/>
    </row>
    <row r="22" spans="1:83" x14ac:dyDescent="0.45">
      <c r="A22" t="s">
        <v>49</v>
      </c>
      <c r="B22">
        <v>1997</v>
      </c>
      <c r="C22" s="2">
        <v>3.7984904359726193E-2</v>
      </c>
      <c r="D22" s="2">
        <v>2.7311155252889473E-2</v>
      </c>
      <c r="E22" s="2">
        <f t="shared" si="0"/>
        <v>-28.099976258341329</v>
      </c>
      <c r="F22" t="s">
        <v>49</v>
      </c>
      <c r="G22">
        <v>1997</v>
      </c>
      <c r="H22" s="2">
        <v>6.6769064405847928E-2</v>
      </c>
      <c r="I22" s="2">
        <v>3.2855238053748528E-2</v>
      </c>
      <c r="J22" s="2">
        <f t="shared" si="1"/>
        <v>-50.792723627154906</v>
      </c>
      <c r="K22" t="s">
        <v>49</v>
      </c>
      <c r="L22">
        <v>1997</v>
      </c>
      <c r="M22" s="2">
        <v>0.29220034908325426</v>
      </c>
      <c r="N22" s="2">
        <v>0.45424350312628547</v>
      </c>
      <c r="O22" s="2">
        <f t="shared" si="2"/>
        <v>55.45618085379548</v>
      </c>
      <c r="P22" s="2"/>
      <c r="Q22" s="2"/>
      <c r="R22" t="s">
        <v>49</v>
      </c>
      <c r="S22">
        <v>1997</v>
      </c>
      <c r="T22" s="2">
        <v>0.1986695305778543</v>
      </c>
      <c r="U22" s="2">
        <v>0.10774987729824814</v>
      </c>
      <c r="V22" s="2">
        <f t="shared" si="12"/>
        <v>-45.764266425332245</v>
      </c>
      <c r="W22" t="s">
        <v>49</v>
      </c>
      <c r="X22">
        <v>1997</v>
      </c>
      <c r="Y22" s="2">
        <v>0.21365154838547892</v>
      </c>
      <c r="Z22" s="2">
        <v>8.2905464074509133E-2</v>
      </c>
      <c r="AA22" s="2">
        <f t="shared" si="13"/>
        <v>-61.195945126066825</v>
      </c>
      <c r="AB22" t="s">
        <v>49</v>
      </c>
      <c r="AC22">
        <v>1997</v>
      </c>
      <c r="AD22" s="2">
        <v>0.15374401628161749</v>
      </c>
      <c r="AE22" s="2">
        <v>0.19957577932019854</v>
      </c>
      <c r="AF22" s="2">
        <f t="shared" si="15"/>
        <v>29.810436950358863</v>
      </c>
      <c r="AG22" s="2"/>
      <c r="AH22" s="2"/>
      <c r="AI22" t="s">
        <v>207</v>
      </c>
      <c r="AJ22">
        <v>2015</v>
      </c>
      <c r="AK22" s="2">
        <f>SUM(C58:C59)</f>
        <v>0.22012394099773486</v>
      </c>
      <c r="AL22" s="2">
        <f>SUM(D58:D59)</f>
        <v>0.12519159753733497</v>
      </c>
      <c r="AM22" s="2">
        <f t="shared" si="6"/>
        <v>-43.126768960299856</v>
      </c>
      <c r="AN22" t="s">
        <v>207</v>
      </c>
      <c r="AO22">
        <v>2015</v>
      </c>
      <c r="AP22" s="2">
        <f>SUM(H58:H59)</f>
        <v>0.2600032220537345</v>
      </c>
      <c r="AQ22" s="2">
        <f>SUM(I58:I59)</f>
        <v>0.12826680200364785</v>
      </c>
      <c r="AR22" s="2">
        <f t="shared" si="7"/>
        <v>-50.667225971092336</v>
      </c>
      <c r="AS22" t="s">
        <v>207</v>
      </c>
      <c r="AT22">
        <v>2015</v>
      </c>
      <c r="AU22" s="2">
        <f>SUM(M58:M59)</f>
        <v>0.47995335237011366</v>
      </c>
      <c r="AV22" s="2">
        <f>SUM(N58:N59)</f>
        <v>0.39353686954153294</v>
      </c>
      <c r="AW22" s="2">
        <f t="shared" si="8"/>
        <v>-18.005183712508185</v>
      </c>
      <c r="AX22" s="2"/>
      <c r="AY22" s="2"/>
      <c r="AZ22" t="s">
        <v>207</v>
      </c>
      <c r="BA22">
        <v>2015</v>
      </c>
      <c r="BB22" s="2">
        <f>SUM(T58:T59)</f>
        <v>0.4957494440241067</v>
      </c>
      <c r="BC22" s="2">
        <f>SUM(U58:U59)</f>
        <v>0.35161115347762073</v>
      </c>
      <c r="BD22" s="2">
        <f t="shared" si="9"/>
        <v>-29.074826464046822</v>
      </c>
      <c r="BE22" t="s">
        <v>207</v>
      </c>
      <c r="BF22">
        <v>2015</v>
      </c>
      <c r="BG22" s="2">
        <f>SUM(Y58:Y59)</f>
        <v>0.52631063192906269</v>
      </c>
      <c r="BH22" s="2">
        <f>SUM(Z58:Z59)</f>
        <v>0.34416400373055717</v>
      </c>
      <c r="BI22" s="2">
        <f t="shared" si="10"/>
        <v>-34.608198495039268</v>
      </c>
      <c r="BJ22" t="s">
        <v>207</v>
      </c>
      <c r="BK22">
        <v>2015</v>
      </c>
      <c r="BL22" s="2">
        <f>SUM(AD58:AD59)</f>
        <v>0.39899946625693772</v>
      </c>
      <c r="BM22" s="2">
        <f>SUM(AE58:AE59)</f>
        <v>0.38809590361261026</v>
      </c>
      <c r="BN22" s="2">
        <f t="shared" si="11"/>
        <v>-2.7327261228229447</v>
      </c>
      <c r="BU22" s="2"/>
      <c r="BZ22" s="2"/>
      <c r="CE22" s="2"/>
    </row>
    <row r="23" spans="1:83" x14ac:dyDescent="0.45">
      <c r="A23" t="s">
        <v>51</v>
      </c>
      <c r="B23">
        <v>1997</v>
      </c>
      <c r="C23" s="2">
        <v>0.11935731570949831</v>
      </c>
      <c r="D23" s="2">
        <v>9.2985803480780158E-2</v>
      </c>
      <c r="E23" s="2">
        <f t="shared" si="0"/>
        <v>-22.094592251809111</v>
      </c>
      <c r="F23" t="s">
        <v>51</v>
      </c>
      <c r="G23">
        <v>1997</v>
      </c>
      <c r="H23" s="2">
        <v>0.12064244276952683</v>
      </c>
      <c r="I23" s="2">
        <v>9.33967775537623E-2</v>
      </c>
      <c r="J23" s="2">
        <f t="shared" si="1"/>
        <v>-22.583814278209008</v>
      </c>
      <c r="K23" t="s">
        <v>51</v>
      </c>
      <c r="L23">
        <v>1997</v>
      </c>
      <c r="M23" s="2">
        <v>0.13070727855600525</v>
      </c>
      <c r="N23" s="2">
        <v>0.12463362191995983</v>
      </c>
      <c r="O23" s="2">
        <f t="shared" si="2"/>
        <v>-4.6467623709593111</v>
      </c>
      <c r="P23" s="2"/>
      <c r="Q23" s="2"/>
      <c r="R23" t="s">
        <v>51</v>
      </c>
      <c r="S23">
        <v>1997</v>
      </c>
      <c r="T23" s="2">
        <v>0.20136763671445215</v>
      </c>
      <c r="U23" s="2">
        <v>0.18478392411574784</v>
      </c>
      <c r="V23" s="2">
        <f t="shared" si="12"/>
        <v>-8.235540163894715</v>
      </c>
      <c r="W23" t="s">
        <v>51</v>
      </c>
      <c r="X23">
        <v>1997</v>
      </c>
      <c r="Y23" s="2">
        <v>0.21161286487337888</v>
      </c>
      <c r="Z23" s="2">
        <v>0.15781589928200829</v>
      </c>
      <c r="AA23" s="2">
        <f t="shared" si="13"/>
        <v>-25.422351152214048</v>
      </c>
      <c r="AB23" t="s">
        <v>51</v>
      </c>
      <c r="AC23">
        <v>1997</v>
      </c>
      <c r="AD23" s="2">
        <v>0.17064599761135155</v>
      </c>
      <c r="AE23" s="2">
        <v>0.28445877591471525</v>
      </c>
      <c r="AF23" s="2">
        <f t="shared" si="15"/>
        <v>66.695252098776891</v>
      </c>
      <c r="AG23" s="2"/>
      <c r="AH23" s="2"/>
      <c r="AI23" t="s">
        <v>208</v>
      </c>
      <c r="AJ23">
        <v>2015</v>
      </c>
      <c r="AK23" s="2">
        <f>SUM(C60:C63)</f>
        <v>0.77987605900226531</v>
      </c>
      <c r="AL23" s="2">
        <f>SUM(D60:D63)</f>
        <v>0.874808402462665</v>
      </c>
      <c r="AM23" s="2">
        <f t="shared" si="6"/>
        <v>12.172747498089814</v>
      </c>
      <c r="AN23" t="s">
        <v>208</v>
      </c>
      <c r="AO23">
        <v>2015</v>
      </c>
      <c r="AP23" s="2">
        <f>SUM(H60:H63)</f>
        <v>0.73999677794626562</v>
      </c>
      <c r="AQ23" s="2">
        <f>SUM(I60:I63)</f>
        <v>0.87173319799635218</v>
      </c>
      <c r="AR23" s="2">
        <f t="shared" si="7"/>
        <v>17.802296439141053</v>
      </c>
      <c r="AS23" t="s">
        <v>208</v>
      </c>
      <c r="AT23">
        <v>2015</v>
      </c>
      <c r="AU23" s="2">
        <f>SUM(M60:M63)</f>
        <v>0.52004664762988628</v>
      </c>
      <c r="AV23" s="2">
        <f>SUM(N60:N63)</f>
        <v>0.60646313045846711</v>
      </c>
      <c r="AW23" s="2">
        <f t="shared" si="8"/>
        <v>16.617063723499449</v>
      </c>
      <c r="AX23" s="2"/>
      <c r="AY23" s="2"/>
      <c r="AZ23" t="s">
        <v>208</v>
      </c>
      <c r="BA23">
        <v>2015</v>
      </c>
      <c r="BB23" s="2">
        <f>SUM(T60:T63)</f>
        <v>0.50425055597589319</v>
      </c>
      <c r="BC23" s="2">
        <f>SUM(U60:U63)</f>
        <v>0.64838884652237938</v>
      </c>
      <c r="BD23" s="2">
        <f t="shared" si="9"/>
        <v>28.584656742228173</v>
      </c>
      <c r="BE23" t="s">
        <v>208</v>
      </c>
      <c r="BF23">
        <v>2015</v>
      </c>
      <c r="BG23" s="2">
        <f>SUM(Y60:Y63)</f>
        <v>0.47368936807093726</v>
      </c>
      <c r="BH23" s="2">
        <f>SUM(Z60:Z63)</f>
        <v>0.65583599626944278</v>
      </c>
      <c r="BI23" s="2">
        <f t="shared" si="10"/>
        <v>38.452758384737102</v>
      </c>
      <c r="BJ23" t="s">
        <v>208</v>
      </c>
      <c r="BK23">
        <v>2015</v>
      </c>
      <c r="BL23" s="2">
        <f>SUM(AD60:AD63)</f>
        <v>0.60100053374306217</v>
      </c>
      <c r="BM23" s="2">
        <f>SUM(AE60:AE63)</f>
        <v>0.61190409638738974</v>
      </c>
      <c r="BN23" s="2">
        <f t="shared" si="11"/>
        <v>1.814235101659498</v>
      </c>
      <c r="BU23" s="2"/>
      <c r="BZ23" s="2"/>
      <c r="CE23" s="2"/>
    </row>
    <row r="24" spans="1:83" x14ac:dyDescent="0.45">
      <c r="A24" t="s">
        <v>53</v>
      </c>
      <c r="B24">
        <v>1997</v>
      </c>
      <c r="C24" s="2">
        <v>0.16878141894106719</v>
      </c>
      <c r="D24" s="2">
        <v>0.16016953030268041</v>
      </c>
      <c r="E24" s="2">
        <f t="shared" si="0"/>
        <v>-5.1023914198717311</v>
      </c>
      <c r="F24" t="s">
        <v>53</v>
      </c>
      <c r="G24">
        <v>1997</v>
      </c>
      <c r="H24" s="2">
        <v>0.17053119746095485</v>
      </c>
      <c r="I24" s="2">
        <v>0.16047033063625665</v>
      </c>
      <c r="J24" s="2">
        <f t="shared" si="1"/>
        <v>-5.899722147322489</v>
      </c>
      <c r="K24" t="s">
        <v>53</v>
      </c>
      <c r="L24">
        <v>1997</v>
      </c>
      <c r="M24" s="2">
        <v>0.18423508247990869</v>
      </c>
      <c r="N24" s="2">
        <v>0.18333321621207818</v>
      </c>
      <c r="O24" s="2">
        <f t="shared" si="2"/>
        <v>-0.48951929007813144</v>
      </c>
      <c r="P24" s="2"/>
      <c r="Q24" s="2"/>
      <c r="R24" t="s">
        <v>53</v>
      </c>
      <c r="S24">
        <v>1997</v>
      </c>
      <c r="T24" s="2">
        <v>0.2485250662138429</v>
      </c>
      <c r="U24" s="2">
        <v>0.30087480297471692</v>
      </c>
      <c r="V24" s="2">
        <f t="shared" si="12"/>
        <v>21.064167714909605</v>
      </c>
      <c r="W24" t="s">
        <v>53</v>
      </c>
      <c r="X24">
        <v>1997</v>
      </c>
      <c r="Y24" s="2">
        <v>0.24244838188048765</v>
      </c>
      <c r="Z24" s="2">
        <v>0.30686546309203488</v>
      </c>
      <c r="AA24" s="2">
        <f t="shared" si="13"/>
        <v>26.56940034489525</v>
      </c>
      <c r="AB24" t="s">
        <v>53</v>
      </c>
      <c r="AC24">
        <v>1997</v>
      </c>
      <c r="AD24" s="2">
        <v>0.26674678857442768</v>
      </c>
      <c r="AE24" s="2">
        <v>0.27873309393028572</v>
      </c>
      <c r="AF24" s="2">
        <f t="shared" si="15"/>
        <v>4.4935143998982472</v>
      </c>
      <c r="AG24" s="2"/>
      <c r="AH24" s="2"/>
      <c r="AM24" s="2"/>
      <c r="AR24" s="2"/>
      <c r="AW24" s="2"/>
      <c r="AX24" s="2"/>
      <c r="AY24" s="2"/>
    </row>
    <row r="25" spans="1:83" x14ac:dyDescent="0.45">
      <c r="A25" t="s">
        <v>54</v>
      </c>
      <c r="B25">
        <v>1997</v>
      </c>
      <c r="C25" s="2">
        <v>0.17546621144251009</v>
      </c>
      <c r="D25" s="2">
        <v>0.17792499884809973</v>
      </c>
      <c r="E25" s="2">
        <f t="shared" si="0"/>
        <v>1.4012882510974112</v>
      </c>
      <c r="F25" t="s">
        <v>54</v>
      </c>
      <c r="G25">
        <v>1997</v>
      </c>
      <c r="H25" s="2">
        <v>0.17381964905719904</v>
      </c>
      <c r="I25" s="2">
        <v>0.17856378847077642</v>
      </c>
      <c r="J25" s="2">
        <f t="shared" si="1"/>
        <v>2.729345870452319</v>
      </c>
      <c r="K25" t="s">
        <v>54</v>
      </c>
      <c r="L25">
        <v>1997</v>
      </c>
      <c r="M25" s="2">
        <v>0.16092413036819106</v>
      </c>
      <c r="N25" s="2">
        <v>0.2271161749546779</v>
      </c>
      <c r="O25" s="2">
        <f t="shared" si="2"/>
        <v>41.13245442746269</v>
      </c>
      <c r="P25" s="2"/>
      <c r="Q25" s="2"/>
      <c r="R25" t="s">
        <v>54</v>
      </c>
      <c r="S25">
        <v>1997</v>
      </c>
      <c r="T25" s="2">
        <v>0.19000816036777946</v>
      </c>
      <c r="U25" s="2">
        <v>0.20294901194514325</v>
      </c>
      <c r="V25" s="2">
        <f t="shared" si="12"/>
        <v>6.8106820003496216</v>
      </c>
      <c r="W25" t="s">
        <v>54</v>
      </c>
      <c r="X25">
        <v>1997</v>
      </c>
      <c r="Y25" s="2">
        <v>0.17523777066094817</v>
      </c>
      <c r="Z25" s="2">
        <v>0.21258506086362047</v>
      </c>
      <c r="AA25" s="2">
        <f t="shared" si="13"/>
        <v>21.312351818793804</v>
      </c>
      <c r="AB25" t="s">
        <v>54</v>
      </c>
      <c r="AC25">
        <v>1997</v>
      </c>
      <c r="AD25" s="2">
        <v>0.23429908048653256</v>
      </c>
      <c r="AE25" s="2">
        <v>0.16733380638974135</v>
      </c>
      <c r="AF25" s="2">
        <f t="shared" si="15"/>
        <v>-28.581108367021674</v>
      </c>
      <c r="AG25" s="2"/>
      <c r="AH25" s="2"/>
      <c r="AM25" s="2"/>
      <c r="AR25" s="2"/>
      <c r="AW25" s="2"/>
      <c r="AX25" s="2"/>
      <c r="AY25" s="2"/>
    </row>
    <row r="26" spans="1:83" x14ac:dyDescent="0.45">
      <c r="A26" t="s">
        <v>55</v>
      </c>
      <c r="B26">
        <v>1997</v>
      </c>
      <c r="C26" s="2">
        <v>0.34438057096445757</v>
      </c>
      <c r="D26" s="2">
        <v>0.32717891877351296</v>
      </c>
      <c r="E26" s="2">
        <f t="shared" si="0"/>
        <v>-4.9949543154453782</v>
      </c>
      <c r="F26" t="s">
        <v>55</v>
      </c>
      <c r="G26">
        <v>1997</v>
      </c>
      <c r="H26" s="2">
        <v>0.32222521380064062</v>
      </c>
      <c r="I26" s="2">
        <v>0.32303245612709003</v>
      </c>
      <c r="J26" s="2">
        <f t="shared" si="1"/>
        <v>0.25052115473149977</v>
      </c>
      <c r="K26" t="s">
        <v>55</v>
      </c>
      <c r="L26">
        <v>1997</v>
      </c>
      <c r="M26" s="2">
        <v>0.14870927239664838</v>
      </c>
      <c r="N26" s="2">
        <v>7.8728952898099707E-3</v>
      </c>
      <c r="O26" s="2">
        <f t="shared" si="2"/>
        <v>-94.705847750494812</v>
      </c>
      <c r="P26" s="2"/>
      <c r="Q26" s="2"/>
      <c r="R26" t="s">
        <v>55</v>
      </c>
      <c r="S26">
        <v>1997</v>
      </c>
      <c r="T26" s="2">
        <v>0.14143215656090241</v>
      </c>
      <c r="U26" s="2">
        <v>0.17054091665510754</v>
      </c>
      <c r="V26" s="2">
        <f t="shared" si="12"/>
        <v>20.581429854440877</v>
      </c>
      <c r="W26" t="s">
        <v>55</v>
      </c>
      <c r="X26">
        <v>1997</v>
      </c>
      <c r="Y26" s="2">
        <v>0.136443233868487</v>
      </c>
      <c r="Z26" s="2">
        <v>0.20083657600718854</v>
      </c>
      <c r="AA26" s="2">
        <f t="shared" si="13"/>
        <v>47.194236249756507</v>
      </c>
      <c r="AB26" t="s">
        <v>55</v>
      </c>
      <c r="AC26">
        <v>1997</v>
      </c>
      <c r="AD26" s="2">
        <v>0.15639208523131584</v>
      </c>
      <c r="AE26" s="2">
        <v>5.8567000334297507E-2</v>
      </c>
      <c r="AF26" s="2">
        <f t="shared" si="15"/>
        <v>-62.551173706986226</v>
      </c>
      <c r="AG26" s="2"/>
      <c r="AH26" s="2"/>
      <c r="AM26" s="2"/>
      <c r="AR26" s="2"/>
      <c r="AW26" s="2"/>
      <c r="AX26" s="2"/>
      <c r="AY26" s="2"/>
    </row>
    <row r="27" spans="1:83" x14ac:dyDescent="0.45">
      <c r="A27" t="s">
        <v>56</v>
      </c>
      <c r="B27">
        <v>1997</v>
      </c>
      <c r="C27" s="2">
        <v>0.15402957858274077</v>
      </c>
      <c r="D27" s="2">
        <v>0.21442959334203732</v>
      </c>
      <c r="E27" s="2">
        <f t="shared" si="0"/>
        <v>39.213257164662821</v>
      </c>
      <c r="F27" t="s">
        <v>56</v>
      </c>
      <c r="G27">
        <v>1997</v>
      </c>
      <c r="H27" s="2">
        <v>0.14601243250583062</v>
      </c>
      <c r="I27" s="2">
        <v>0.2116814091583662</v>
      </c>
      <c r="J27" s="2">
        <f t="shared" si="1"/>
        <v>44.974921330697818</v>
      </c>
      <c r="K27" t="s">
        <v>56</v>
      </c>
      <c r="L27">
        <v>1997</v>
      </c>
      <c r="M27" s="2">
        <v>8.322388711599249E-2</v>
      </c>
      <c r="N27" s="2">
        <v>2.8005884971886567E-3</v>
      </c>
      <c r="O27" s="2">
        <f t="shared" si="2"/>
        <v>-96.63487419989724</v>
      </c>
      <c r="P27" s="2"/>
      <c r="Q27" s="2"/>
      <c r="R27" t="s">
        <v>56</v>
      </c>
      <c r="S27">
        <v>1997</v>
      </c>
      <c r="T27" s="2">
        <v>1.999744956516877E-2</v>
      </c>
      <c r="U27" s="2">
        <v>3.3101467011036223E-2</v>
      </c>
      <c r="V27" s="2">
        <f t="shared" si="12"/>
        <v>65.528443530578102</v>
      </c>
      <c r="W27" t="s">
        <v>56</v>
      </c>
      <c r="X27">
        <v>1997</v>
      </c>
      <c r="Y27" s="2">
        <v>2.0606200331219474E-2</v>
      </c>
      <c r="Z27" s="2">
        <v>3.8991536680638469E-2</v>
      </c>
      <c r="AA27" s="2">
        <f t="shared" si="13"/>
        <v>89.222350816245566</v>
      </c>
      <c r="AB27" t="s">
        <v>56</v>
      </c>
      <c r="AC27">
        <v>1997</v>
      </c>
      <c r="AD27" s="2">
        <v>1.8172031814754821E-2</v>
      </c>
      <c r="AE27" s="2">
        <v>1.1331544110761782E-2</v>
      </c>
      <c r="AF27" s="2">
        <f t="shared" si="15"/>
        <v>-37.642943693499866</v>
      </c>
      <c r="AG27" s="2"/>
      <c r="AH27" s="2"/>
      <c r="AM27" s="2"/>
      <c r="AR27" s="2"/>
      <c r="AW27" s="2"/>
      <c r="AX27" s="2"/>
      <c r="AY27" s="2"/>
    </row>
    <row r="28" spans="1:83" x14ac:dyDescent="0.45">
      <c r="A28" t="s">
        <v>49</v>
      </c>
      <c r="B28">
        <v>2000</v>
      </c>
      <c r="C28" s="2">
        <v>4.2002135682277418E-2</v>
      </c>
      <c r="D28" s="2">
        <v>4.1206593446755022E-2</v>
      </c>
      <c r="E28" s="2">
        <f t="shared" si="0"/>
        <v>-1.894051868076964</v>
      </c>
      <c r="F28" t="s">
        <v>49</v>
      </c>
      <c r="G28">
        <v>2000</v>
      </c>
      <c r="H28" s="2">
        <v>7.421052576420617E-2</v>
      </c>
      <c r="I28" s="2">
        <v>4.4208138788411559E-2</v>
      </c>
      <c r="J28" s="2">
        <f t="shared" si="1"/>
        <v>-40.428748707593186</v>
      </c>
      <c r="K28" t="s">
        <v>49</v>
      </c>
      <c r="L28">
        <v>2000</v>
      </c>
      <c r="M28" s="2">
        <v>0.29834460739460572</v>
      </c>
      <c r="N28" s="2">
        <v>0.25243865804252169</v>
      </c>
      <c r="O28" s="2">
        <f t="shared" si="2"/>
        <v>-15.386887583782094</v>
      </c>
      <c r="P28" s="2"/>
      <c r="Q28" s="2"/>
      <c r="R28" t="s">
        <v>49</v>
      </c>
      <c r="S28">
        <v>2000</v>
      </c>
      <c r="T28" s="2">
        <v>0.21206878634899179</v>
      </c>
      <c r="U28" s="2">
        <v>0.16294407093224364</v>
      </c>
      <c r="V28" s="2">
        <f t="shared" si="12"/>
        <v>-23.164519523352144</v>
      </c>
      <c r="W28" t="s">
        <v>49</v>
      </c>
      <c r="X28">
        <v>2000</v>
      </c>
      <c r="Y28" s="2">
        <v>0.23085838027027542</v>
      </c>
      <c r="Z28" s="2">
        <v>0.14598508718648551</v>
      </c>
      <c r="AA28" s="2">
        <f t="shared" si="13"/>
        <v>-36.764224449822983</v>
      </c>
      <c r="AB28" t="s">
        <v>49</v>
      </c>
      <c r="AC28">
        <v>2000</v>
      </c>
      <c r="AD28" s="2">
        <v>0.15372651224860623</v>
      </c>
      <c r="AE28" s="2">
        <v>0.22538057362376393</v>
      </c>
      <c r="AF28" s="2">
        <f t="shared" si="15"/>
        <v>46.61138819000778</v>
      </c>
      <c r="AG28" s="2"/>
      <c r="AH28" s="2"/>
      <c r="AM28" s="2"/>
      <c r="AR28" s="2"/>
      <c r="AW28" s="2"/>
      <c r="AX28" s="2"/>
      <c r="AY28" s="2"/>
    </row>
    <row r="29" spans="1:83" x14ac:dyDescent="0.45">
      <c r="A29" t="s">
        <v>51</v>
      </c>
      <c r="B29">
        <v>2000</v>
      </c>
      <c r="C29" s="2">
        <v>0.11090764270058741</v>
      </c>
      <c r="D29" s="2">
        <v>7.6304031728368152E-2</v>
      </c>
      <c r="E29" s="2">
        <f t="shared" si="0"/>
        <v>-31.200384508790918</v>
      </c>
      <c r="F29" t="s">
        <v>51</v>
      </c>
      <c r="G29">
        <v>2000</v>
      </c>
      <c r="H29" s="2">
        <v>0.11251445747953928</v>
      </c>
      <c r="I29" s="2">
        <v>7.5720010741342381E-2</v>
      </c>
      <c r="J29" s="2">
        <f t="shared" si="1"/>
        <v>-32.701972317546797</v>
      </c>
      <c r="K29" t="s">
        <v>51</v>
      </c>
      <c r="L29">
        <v>2000</v>
      </c>
      <c r="M29" s="2">
        <v>0.12369607673819941</v>
      </c>
      <c r="N29" s="2">
        <v>3.5203883366583318E-2</v>
      </c>
      <c r="O29" s="2">
        <f t="shared" si="2"/>
        <v>-71.540016227764681</v>
      </c>
      <c r="P29" s="2"/>
      <c r="Q29" s="2"/>
      <c r="R29" t="s">
        <v>51</v>
      </c>
      <c r="S29">
        <v>2000</v>
      </c>
      <c r="T29" s="2">
        <v>0.1937462136762729</v>
      </c>
      <c r="U29" s="2">
        <v>0.18433005211567066</v>
      </c>
      <c r="V29" s="2">
        <f t="shared" si="12"/>
        <v>-4.8600493304790637</v>
      </c>
      <c r="W29" t="s">
        <v>51</v>
      </c>
      <c r="X29">
        <v>2000</v>
      </c>
      <c r="Y29" s="2">
        <v>0.19954925152282885</v>
      </c>
      <c r="Z29" s="2">
        <v>0.18219358971791874</v>
      </c>
      <c r="AA29" s="2">
        <f t="shared" si="13"/>
        <v>-8.697432675123105</v>
      </c>
      <c r="AB29" t="s">
        <v>51</v>
      </c>
      <c r="AC29">
        <v>2000</v>
      </c>
      <c r="AD29" s="2">
        <v>0.17572760049724223</v>
      </c>
      <c r="AE29" s="2">
        <v>0.19219569089729469</v>
      </c>
      <c r="AF29" s="2">
        <f t="shared" si="15"/>
        <v>9.3713738498983812</v>
      </c>
      <c r="AG29" s="2"/>
      <c r="AH29" s="2"/>
      <c r="AM29" s="2"/>
      <c r="AR29" s="2"/>
      <c r="AW29" s="2"/>
      <c r="AX29" s="2"/>
      <c r="AY29" s="2"/>
    </row>
    <row r="30" spans="1:83" x14ac:dyDescent="0.45">
      <c r="A30" t="s">
        <v>53</v>
      </c>
      <c r="B30">
        <v>2000</v>
      </c>
      <c r="C30" s="2">
        <v>0.16935873785207534</v>
      </c>
      <c r="D30" s="2">
        <v>0.13634580611546984</v>
      </c>
      <c r="E30" s="2">
        <f t="shared" si="0"/>
        <v>-19.492901373320521</v>
      </c>
      <c r="F30" t="s">
        <v>53</v>
      </c>
      <c r="G30">
        <v>2000</v>
      </c>
      <c r="H30" s="2">
        <v>0.17300276983449123</v>
      </c>
      <c r="I30" s="2">
        <v>0.13709902679050223</v>
      </c>
      <c r="J30" s="2">
        <f t="shared" si="1"/>
        <v>-20.75327642345697</v>
      </c>
      <c r="K30" t="s">
        <v>53</v>
      </c>
      <c r="L30">
        <v>2000</v>
      </c>
      <c r="M30" s="2">
        <v>0.19836112396933053</v>
      </c>
      <c r="N30" s="2">
        <v>0.18935328732030132</v>
      </c>
      <c r="O30" s="2">
        <f t="shared" si="2"/>
        <v>-4.5411300706392197</v>
      </c>
      <c r="P30" s="2"/>
      <c r="Q30" s="2"/>
      <c r="R30" t="s">
        <v>53</v>
      </c>
      <c r="S30">
        <v>2000</v>
      </c>
      <c r="T30" s="2">
        <v>0.24911854010600462</v>
      </c>
      <c r="U30" s="2">
        <v>0.25295335994043561</v>
      </c>
      <c r="V30" s="2">
        <f t="shared" si="12"/>
        <v>1.5393554541541541</v>
      </c>
      <c r="W30" t="s">
        <v>53</v>
      </c>
      <c r="X30">
        <v>2000</v>
      </c>
      <c r="Y30" s="2">
        <v>0.2379772076771822</v>
      </c>
      <c r="Z30" s="2">
        <v>0.25032807018886633</v>
      </c>
      <c r="AA30" s="2">
        <f t="shared" si="13"/>
        <v>5.1899350497624823</v>
      </c>
      <c r="AB30" t="s">
        <v>53</v>
      </c>
      <c r="AC30">
        <v>2000</v>
      </c>
      <c r="AD30" s="2">
        <v>0.28371272415963578</v>
      </c>
      <c r="AE30" s="2">
        <v>0.26261867438953229</v>
      </c>
      <c r="AF30" s="2">
        <f t="shared" si="15"/>
        <v>-7.4350030766454314</v>
      </c>
      <c r="AG30" s="2"/>
      <c r="AH30" s="2"/>
      <c r="AM30" s="2"/>
      <c r="AR30" s="2"/>
      <c r="AW30" s="2"/>
      <c r="AX30" s="2"/>
      <c r="AY30" s="2"/>
    </row>
    <row r="31" spans="1:83" x14ac:dyDescent="0.45">
      <c r="A31" t="s">
        <v>54</v>
      </c>
      <c r="B31">
        <v>2000</v>
      </c>
      <c r="C31" s="2">
        <v>0.17033659176632285</v>
      </c>
      <c r="D31" s="2">
        <v>0.16689049236825568</v>
      </c>
      <c r="E31" s="2">
        <f t="shared" si="0"/>
        <v>-2.0231116299395731</v>
      </c>
      <c r="F31" t="s">
        <v>54</v>
      </c>
      <c r="G31">
        <v>2000</v>
      </c>
      <c r="H31" s="2">
        <v>0.16748784556683979</v>
      </c>
      <c r="I31" s="2">
        <v>0.16651930744900736</v>
      </c>
      <c r="J31" s="2">
        <f t="shared" si="1"/>
        <v>-0.57827367386244888</v>
      </c>
      <c r="K31" t="s">
        <v>54</v>
      </c>
      <c r="L31">
        <v>2000</v>
      </c>
      <c r="M31" s="2">
        <v>0.14766378383649348</v>
      </c>
      <c r="N31" s="2">
        <v>0.14076856252382206</v>
      </c>
      <c r="O31" s="2">
        <f t="shared" si="2"/>
        <v>-4.669541260236449</v>
      </c>
      <c r="P31" s="2"/>
      <c r="Q31" s="2"/>
      <c r="R31" t="s">
        <v>54</v>
      </c>
      <c r="S31">
        <v>2000</v>
      </c>
      <c r="T31" s="2">
        <v>0.18552355400334739</v>
      </c>
      <c r="U31" s="2">
        <v>0.21900045261157439</v>
      </c>
      <c r="V31" s="2">
        <f t="shared" si="12"/>
        <v>18.044554389909425</v>
      </c>
      <c r="W31" t="s">
        <v>54</v>
      </c>
      <c r="X31">
        <v>2000</v>
      </c>
      <c r="Y31" s="2">
        <v>0.1747773015651379</v>
      </c>
      <c r="Z31" s="2">
        <v>0.21272639558269915</v>
      </c>
      <c r="AA31" s="2">
        <f t="shared" si="13"/>
        <v>21.712827511195993</v>
      </c>
      <c r="AB31" t="s">
        <v>54</v>
      </c>
      <c r="AC31">
        <v>2000</v>
      </c>
      <c r="AD31" s="2">
        <v>0.21889100238613424</v>
      </c>
      <c r="AE31" s="2">
        <v>0.24209913496440733</v>
      </c>
      <c r="AF31" s="2">
        <f t="shared" si="15"/>
        <v>10.602597788525282</v>
      </c>
      <c r="AG31" s="2"/>
      <c r="AH31" s="2"/>
      <c r="AM31" s="2"/>
      <c r="AR31" s="2"/>
      <c r="AW31" s="2"/>
      <c r="AX31" s="2"/>
      <c r="AY31" s="2"/>
    </row>
    <row r="32" spans="1:83" x14ac:dyDescent="0.45">
      <c r="A32" t="s">
        <v>55</v>
      </c>
      <c r="B32">
        <v>2000</v>
      </c>
      <c r="C32" s="2">
        <v>0.35899235177653888</v>
      </c>
      <c r="D32" s="2">
        <v>0.46736780951077872</v>
      </c>
      <c r="E32" s="2">
        <f t="shared" si="0"/>
        <v>30.188792936095769</v>
      </c>
      <c r="F32" t="s">
        <v>55</v>
      </c>
      <c r="G32">
        <v>2000</v>
      </c>
      <c r="H32" s="2">
        <v>0.33169283738806676</v>
      </c>
      <c r="I32" s="2">
        <v>0.4648915499209173</v>
      </c>
      <c r="J32" s="2">
        <f t="shared" si="1"/>
        <v>40.157247163288488</v>
      </c>
      <c r="K32" t="s">
        <v>55</v>
      </c>
      <c r="L32">
        <v>2000</v>
      </c>
      <c r="M32" s="2">
        <v>0.14171899607368424</v>
      </c>
      <c r="N32" s="2">
        <v>0.29310243414489162</v>
      </c>
      <c r="O32" s="2">
        <f t="shared" si="2"/>
        <v>106.81944006468851</v>
      </c>
      <c r="P32" s="2"/>
      <c r="Q32" s="2"/>
      <c r="R32" t="s">
        <v>55</v>
      </c>
      <c r="S32">
        <v>2000</v>
      </c>
      <c r="T32" s="2">
        <v>0.14100222890719963</v>
      </c>
      <c r="U32" s="2">
        <v>0.16352842680915516</v>
      </c>
      <c r="V32" s="2">
        <f t="shared" si="12"/>
        <v>15.975774338135544</v>
      </c>
      <c r="W32" t="s">
        <v>55</v>
      </c>
      <c r="X32">
        <v>2000</v>
      </c>
      <c r="Y32" s="2">
        <v>0.13795359213733815</v>
      </c>
      <c r="Z32" s="2">
        <v>0.18905122985576947</v>
      </c>
      <c r="AA32" s="2">
        <f t="shared" si="13"/>
        <v>37.039729757498186</v>
      </c>
      <c r="AB32" t="s">
        <v>55</v>
      </c>
      <c r="AC32">
        <v>2000</v>
      </c>
      <c r="AD32" s="2">
        <v>0.15046834099056408</v>
      </c>
      <c r="AE32" s="2">
        <v>6.9563211380862328E-2</v>
      </c>
      <c r="AF32" s="2">
        <f t="shared" si="15"/>
        <v>-53.76887196142831</v>
      </c>
      <c r="AG32" s="2"/>
      <c r="AH32" s="2"/>
      <c r="AM32" s="2"/>
      <c r="AR32" s="2"/>
      <c r="AW32" s="2"/>
      <c r="AX32" s="2"/>
      <c r="AY32" s="2"/>
    </row>
    <row r="33" spans="1:51" x14ac:dyDescent="0.45">
      <c r="A33" t="s">
        <v>56</v>
      </c>
      <c r="B33">
        <v>2000</v>
      </c>
      <c r="C33" s="2">
        <v>0.14840254022219818</v>
      </c>
      <c r="D33" s="2">
        <v>0.11188526683037243</v>
      </c>
      <c r="E33" s="2">
        <f t="shared" si="0"/>
        <v>-24.606905877183536</v>
      </c>
      <c r="F33" t="s">
        <v>56</v>
      </c>
      <c r="G33">
        <v>2000</v>
      </c>
      <c r="H33" s="2">
        <v>0.14109156396685674</v>
      </c>
      <c r="I33" s="2">
        <v>0.1115619663098191</v>
      </c>
      <c r="J33" s="2">
        <f t="shared" si="1"/>
        <v>-20.929385731364011</v>
      </c>
      <c r="K33" t="s">
        <v>56</v>
      </c>
      <c r="L33">
        <v>2000</v>
      </c>
      <c r="M33" s="2">
        <v>9.0215411987686581E-2</v>
      </c>
      <c r="N33" s="2">
        <v>8.9133174601879903E-2</v>
      </c>
      <c r="O33" s="2">
        <f t="shared" si="2"/>
        <v>-1.1996147464852143</v>
      </c>
      <c r="P33" s="2"/>
      <c r="Q33" s="2"/>
      <c r="R33" t="s">
        <v>56</v>
      </c>
      <c r="S33">
        <v>2000</v>
      </c>
      <c r="T33" s="2">
        <v>1.8540676958183521E-2</v>
      </c>
      <c r="U33" s="2">
        <v>1.7243637590920478E-2</v>
      </c>
      <c r="V33" s="2">
        <f t="shared" si="12"/>
        <v>-6.9956419077273919</v>
      </c>
      <c r="W33" t="s">
        <v>56</v>
      </c>
      <c r="X33">
        <v>2000</v>
      </c>
      <c r="Y33" s="2">
        <v>1.8884266827237445E-2</v>
      </c>
      <c r="Z33" s="2">
        <v>1.9715627468260648E-2</v>
      </c>
      <c r="AA33" s="2">
        <f t="shared" si="13"/>
        <v>4.4023982960466448</v>
      </c>
      <c r="AB33" t="s">
        <v>56</v>
      </c>
      <c r="AC33">
        <v>2000</v>
      </c>
      <c r="AD33" s="2">
        <v>1.7473819717817477E-2</v>
      </c>
      <c r="AE33" s="2">
        <v>8.1427147441392872E-3</v>
      </c>
      <c r="AF33" s="2">
        <f t="shared" si="15"/>
        <v>-53.400487840466674</v>
      </c>
      <c r="AG33" s="2"/>
      <c r="AH33" s="2"/>
      <c r="AM33" s="2"/>
      <c r="AR33" s="2"/>
      <c r="AW33" s="2"/>
      <c r="AX33" s="2"/>
      <c r="AY33" s="2"/>
    </row>
    <row r="34" spans="1:51" x14ac:dyDescent="0.45">
      <c r="A34" t="s">
        <v>49</v>
      </c>
      <c r="B34">
        <v>2003</v>
      </c>
      <c r="C34" s="2">
        <v>5.4344485283645889E-2</v>
      </c>
      <c r="D34" s="2">
        <v>5.1709683131882921E-2</v>
      </c>
      <c r="E34" s="2">
        <f t="shared" si="0"/>
        <v>-4.8483339901203752</v>
      </c>
      <c r="F34" t="s">
        <v>49</v>
      </c>
      <c r="G34">
        <v>2003</v>
      </c>
      <c r="H34" s="2">
        <v>8.9102397701359595E-2</v>
      </c>
      <c r="I34" s="2">
        <v>5.2826979894561796E-2</v>
      </c>
      <c r="J34" s="2">
        <f t="shared" si="1"/>
        <v>-40.712055727591583</v>
      </c>
      <c r="K34" t="s">
        <v>49</v>
      </c>
      <c r="L34">
        <v>2003</v>
      </c>
      <c r="M34" s="2">
        <v>0.29416394804214696</v>
      </c>
      <c r="N34" s="2">
        <v>0.16439621026571366</v>
      </c>
      <c r="O34" s="2">
        <f t="shared" si="2"/>
        <v>-44.114086257042132</v>
      </c>
      <c r="P34" s="2"/>
      <c r="Q34" s="2"/>
      <c r="R34" t="s">
        <v>49</v>
      </c>
      <c r="S34">
        <v>2003</v>
      </c>
      <c r="T34" s="2">
        <v>0.23864806195092073</v>
      </c>
      <c r="U34" s="2">
        <v>0.18841115844709411</v>
      </c>
      <c r="V34" s="2">
        <f t="shared" si="12"/>
        <v>-21.050622868313134</v>
      </c>
      <c r="W34" t="s">
        <v>49</v>
      </c>
      <c r="X34">
        <v>2003</v>
      </c>
      <c r="Y34" s="2">
        <v>0.26366704294984661</v>
      </c>
      <c r="Z34" s="2">
        <v>0.18174332018449871</v>
      </c>
      <c r="AA34" s="2">
        <f t="shared" si="13"/>
        <v>-31.07089981698282</v>
      </c>
      <c r="AB34" t="s">
        <v>49</v>
      </c>
      <c r="AC34">
        <v>2003</v>
      </c>
      <c r="AD34" s="2">
        <v>0.10524864184175431</v>
      </c>
      <c r="AE34" s="2">
        <v>0.18658698636147575</v>
      </c>
      <c r="AF34" s="2">
        <f t="shared" si="15"/>
        <v>77.282084686676527</v>
      </c>
      <c r="AG34" s="2"/>
      <c r="AH34" s="2"/>
      <c r="AM34" s="2"/>
      <c r="AR34" s="2"/>
      <c r="AW34" s="2"/>
      <c r="AX34" s="2"/>
      <c r="AY34" s="2"/>
    </row>
    <row r="35" spans="1:51" x14ac:dyDescent="0.45">
      <c r="A35" t="s">
        <v>51</v>
      </c>
      <c r="B35">
        <v>2003</v>
      </c>
      <c r="C35" s="2">
        <v>0.12945793510130241</v>
      </c>
      <c r="D35" s="2">
        <v>0.12029759477179441</v>
      </c>
      <c r="E35" s="2">
        <f t="shared" si="0"/>
        <v>-7.0759203152281982</v>
      </c>
      <c r="F35" t="s">
        <v>51</v>
      </c>
      <c r="G35">
        <v>2003</v>
      </c>
      <c r="H35" s="2">
        <v>0.13125634065832104</v>
      </c>
      <c r="I35" s="2">
        <v>0.12060631560158294</v>
      </c>
      <c r="J35" s="2">
        <f t="shared" si="1"/>
        <v>-8.1139128238091178</v>
      </c>
      <c r="K35" t="s">
        <v>51</v>
      </c>
      <c r="L35">
        <v>2003</v>
      </c>
      <c r="M35" s="2">
        <v>0.141866409158171</v>
      </c>
      <c r="N35" s="2">
        <v>0.15143406569410489</v>
      </c>
      <c r="O35" s="2">
        <f t="shared" si="2"/>
        <v>6.7441310403977512</v>
      </c>
      <c r="P35" s="2"/>
      <c r="Q35" s="2"/>
      <c r="R35" t="s">
        <v>51</v>
      </c>
      <c r="S35">
        <v>2003</v>
      </c>
      <c r="T35" s="2">
        <v>0.20385669472546261</v>
      </c>
      <c r="U35" s="2">
        <v>0.21088107762228514</v>
      </c>
      <c r="V35" s="2">
        <f t="shared" si="12"/>
        <v>3.4457455058232882</v>
      </c>
      <c r="W35" t="s">
        <v>51</v>
      </c>
      <c r="X35">
        <v>2003</v>
      </c>
      <c r="Y35" s="2">
        <v>0.21219524376208559</v>
      </c>
      <c r="Z35" s="2">
        <v>0.20353118975753795</v>
      </c>
      <c r="AA35" s="2">
        <f t="shared" si="13"/>
        <v>-4.0830575892934844</v>
      </c>
      <c r="AB35" t="s">
        <v>51</v>
      </c>
      <c r="AC35">
        <v>2003</v>
      </c>
      <c r="AD35" s="2">
        <v>0.21023734279503406</v>
      </c>
      <c r="AE35" s="2">
        <v>9.7648717831367693E-2</v>
      </c>
      <c r="AF35" s="2">
        <f t="shared" si="15"/>
        <v>-53.553105013048039</v>
      </c>
      <c r="AG35" s="2"/>
      <c r="AH35" s="2"/>
      <c r="AM35" s="2"/>
      <c r="AR35" s="2"/>
      <c r="AW35" s="2"/>
      <c r="AX35" s="2"/>
      <c r="AY35" s="2"/>
    </row>
    <row r="36" spans="1:51" x14ac:dyDescent="0.45">
      <c r="A36" t="s">
        <v>53</v>
      </c>
      <c r="B36">
        <v>2003</v>
      </c>
      <c r="C36" s="2">
        <v>0.16696909532049412</v>
      </c>
      <c r="D36" s="2">
        <v>0.1683691254987697</v>
      </c>
      <c r="E36" s="2">
        <f t="shared" si="0"/>
        <v>0.83849659458731152</v>
      </c>
      <c r="F36" t="s">
        <v>53</v>
      </c>
      <c r="G36">
        <v>2003</v>
      </c>
      <c r="H36" s="2">
        <v>0.17304759851044338</v>
      </c>
      <c r="I36" s="2">
        <v>0.16989774826563736</v>
      </c>
      <c r="J36" s="2">
        <f t="shared" si="1"/>
        <v>-1.8202218764774858</v>
      </c>
      <c r="K36" t="s">
        <v>53</v>
      </c>
      <c r="L36">
        <v>2003</v>
      </c>
      <c r="M36" s="2">
        <v>0.20890899527393739</v>
      </c>
      <c r="N36" s="2">
        <v>0.32254051187513205</v>
      </c>
      <c r="O36" s="2">
        <f t="shared" si="2"/>
        <v>54.392830932048845</v>
      </c>
      <c r="P36" s="2"/>
      <c r="Q36" s="2"/>
      <c r="R36" t="s">
        <v>53</v>
      </c>
      <c r="S36">
        <v>2003</v>
      </c>
      <c r="T36" s="2">
        <v>0.23640793607105426</v>
      </c>
      <c r="U36" s="2">
        <v>0.2467437976208752</v>
      </c>
      <c r="V36" s="2">
        <f t="shared" si="12"/>
        <v>4.3720450851169463</v>
      </c>
      <c r="W36" t="s">
        <v>53</v>
      </c>
      <c r="X36">
        <v>2003</v>
      </c>
      <c r="Y36" s="2">
        <v>0.22066878744218474</v>
      </c>
      <c r="Z36" s="2">
        <v>0.2347703772703322</v>
      </c>
      <c r="AA36" s="2">
        <f t="shared" si="13"/>
        <v>6.3903871460942723</v>
      </c>
      <c r="AB36" t="s">
        <v>53</v>
      </c>
      <c r="AC36">
        <v>2003</v>
      </c>
      <c r="AD36" s="2">
        <v>0.29540636344044713</v>
      </c>
      <c r="AE36" s="2">
        <v>0.23406632407900113</v>
      </c>
      <c r="AF36" s="2">
        <f t="shared" si="15"/>
        <v>-20.764630337359652</v>
      </c>
      <c r="AG36" s="2"/>
      <c r="AH36" s="2"/>
      <c r="AM36" s="2"/>
      <c r="AR36" s="2"/>
      <c r="AW36" s="2"/>
      <c r="AX36" s="2"/>
      <c r="AY36" s="2"/>
    </row>
    <row r="37" spans="1:51" x14ac:dyDescent="0.45">
      <c r="A37" t="s">
        <v>54</v>
      </c>
      <c r="B37">
        <v>2003</v>
      </c>
      <c r="C37" s="2">
        <v>0.1682264321416789</v>
      </c>
      <c r="D37" s="2">
        <v>0.27424949504974255</v>
      </c>
      <c r="E37" s="2">
        <f t="shared" si="0"/>
        <v>63.024021587030937</v>
      </c>
      <c r="F37" t="s">
        <v>54</v>
      </c>
      <c r="G37">
        <v>2003</v>
      </c>
      <c r="H37" s="2">
        <v>0.16496150802959908</v>
      </c>
      <c r="I37" s="2">
        <v>0.27351643930027336</v>
      </c>
      <c r="J37" s="2">
        <f t="shared" si="1"/>
        <v>65.806219018800576</v>
      </c>
      <c r="K37" t="s">
        <v>54</v>
      </c>
      <c r="L37">
        <v>2003</v>
      </c>
      <c r="M37" s="2">
        <v>0.1456994075869126</v>
      </c>
      <c r="N37" s="2">
        <v>0.20031613252472158</v>
      </c>
      <c r="O37" s="2">
        <f t="shared" si="2"/>
        <v>37.485893623300427</v>
      </c>
      <c r="P37" s="2"/>
      <c r="Q37" s="2"/>
      <c r="R37" t="s">
        <v>54</v>
      </c>
      <c r="S37">
        <v>2003</v>
      </c>
      <c r="T37" s="2">
        <v>0.17558739554401576</v>
      </c>
      <c r="U37" s="2">
        <v>0.20402616592045192</v>
      </c>
      <c r="V37" s="2">
        <f t="shared" si="12"/>
        <v>16.196362095539602</v>
      </c>
      <c r="W37" t="s">
        <v>54</v>
      </c>
      <c r="X37">
        <v>2003</v>
      </c>
      <c r="Y37" s="2">
        <v>0.16106704252172413</v>
      </c>
      <c r="Z37" s="2">
        <v>0.21003033792286038</v>
      </c>
      <c r="AA37" s="2">
        <f t="shared" si="13"/>
        <v>30.399326041224274</v>
      </c>
      <c r="AB37" t="s">
        <v>54</v>
      </c>
      <c r="AC37">
        <v>2003</v>
      </c>
      <c r="AD37" s="2">
        <v>0.26536789269425809</v>
      </c>
      <c r="AE37" s="2">
        <v>0.20064594077159159</v>
      </c>
      <c r="AF37" s="2">
        <f t="shared" si="15"/>
        <v>-24.389518741528946</v>
      </c>
      <c r="AG37" s="2"/>
      <c r="AH37" s="2"/>
      <c r="AM37" s="2"/>
      <c r="AR37" s="2"/>
      <c r="AW37" s="2"/>
      <c r="AX37" s="2"/>
      <c r="AY37" s="2"/>
    </row>
    <row r="38" spans="1:51" x14ac:dyDescent="0.45">
      <c r="A38" t="s">
        <v>55</v>
      </c>
      <c r="B38">
        <v>2003</v>
      </c>
      <c r="C38" s="2">
        <v>0.33687481825398774</v>
      </c>
      <c r="D38" s="2">
        <v>0.29644852497485347</v>
      </c>
      <c r="E38" s="2">
        <f t="shared" si="0"/>
        <v>-12.000390379032355</v>
      </c>
      <c r="F38" t="s">
        <v>55</v>
      </c>
      <c r="G38">
        <v>2003</v>
      </c>
      <c r="H38" s="2">
        <v>0.30733225123251967</v>
      </c>
      <c r="I38" s="2">
        <v>0.29467290557379855</v>
      </c>
      <c r="J38" s="2">
        <f t="shared" si="1"/>
        <v>-4.1191074506343908</v>
      </c>
      <c r="K38" t="s">
        <v>55</v>
      </c>
      <c r="L38">
        <v>2003</v>
      </c>
      <c r="M38" s="2">
        <v>0.13303971830751271</v>
      </c>
      <c r="N38" s="2">
        <v>0.11736594772242484</v>
      </c>
      <c r="O38" s="2">
        <f t="shared" si="2"/>
        <v>-11.781271626612261</v>
      </c>
      <c r="P38" s="2"/>
      <c r="Q38" s="2"/>
      <c r="R38" t="s">
        <v>55</v>
      </c>
      <c r="S38">
        <v>2003</v>
      </c>
      <c r="T38" s="2">
        <v>0.12780857966151399</v>
      </c>
      <c r="U38" s="2">
        <v>0.13851294513915494</v>
      </c>
      <c r="V38" s="2">
        <f t="shared" si="12"/>
        <v>8.3753105667790102</v>
      </c>
      <c r="W38" t="s">
        <v>55</v>
      </c>
      <c r="X38">
        <v>2003</v>
      </c>
      <c r="Y38" s="2">
        <v>0.12451779053222442</v>
      </c>
      <c r="Z38" s="2">
        <v>0.15749243599974144</v>
      </c>
      <c r="AA38" s="2">
        <f t="shared" si="13"/>
        <v>26.481874860270182</v>
      </c>
      <c r="AB38" t="s">
        <v>55</v>
      </c>
      <c r="AC38">
        <v>2003</v>
      </c>
      <c r="AD38" s="2">
        <v>0.11362720957119105</v>
      </c>
      <c r="AE38" s="2">
        <v>0.26253852207124573</v>
      </c>
      <c r="AF38" s="2">
        <f t="shared" si="15"/>
        <v>131.05251203652679</v>
      </c>
      <c r="AG38" s="2"/>
      <c r="AH38" s="2"/>
      <c r="AM38" s="2"/>
      <c r="AR38" s="2"/>
      <c r="AW38" s="2"/>
      <c r="AX38" s="2"/>
      <c r="AY38" s="2"/>
    </row>
    <row r="39" spans="1:51" x14ac:dyDescent="0.45">
      <c r="A39" t="s">
        <v>56</v>
      </c>
      <c r="B39">
        <v>2003</v>
      </c>
      <c r="C39" s="2">
        <v>0.14412723389889101</v>
      </c>
      <c r="D39" s="2">
        <v>8.8925576572957035E-2</v>
      </c>
      <c r="E39" s="2">
        <f t="shared" si="0"/>
        <v>-38.30064300315329</v>
      </c>
      <c r="F39" t="s">
        <v>56</v>
      </c>
      <c r="G39">
        <v>2003</v>
      </c>
      <c r="H39" s="2">
        <v>0.13429990386775739</v>
      </c>
      <c r="I39" s="2">
        <v>8.847961136414606E-2</v>
      </c>
      <c r="J39" s="2">
        <f t="shared" si="1"/>
        <v>-34.117889279153708</v>
      </c>
      <c r="K39" t="s">
        <v>56</v>
      </c>
      <c r="L39">
        <v>2003</v>
      </c>
      <c r="M39" s="2">
        <v>7.6321521631319444E-2</v>
      </c>
      <c r="N39" s="2">
        <v>4.3947131917903129E-2</v>
      </c>
      <c r="O39" s="2">
        <f t="shared" si="2"/>
        <v>-42.418428015370047</v>
      </c>
      <c r="P39" s="2"/>
      <c r="Q39" s="2"/>
      <c r="R39" t="s">
        <v>56</v>
      </c>
      <c r="S39">
        <v>2003</v>
      </c>
      <c r="T39" s="2">
        <v>1.769133204703259E-2</v>
      </c>
      <c r="U39" s="2">
        <v>1.1424855250138765E-2</v>
      </c>
      <c r="V39" s="2">
        <f t="shared" si="12"/>
        <v>-35.421169984455275</v>
      </c>
      <c r="W39" t="s">
        <v>56</v>
      </c>
      <c r="X39">
        <v>2003</v>
      </c>
      <c r="Y39" s="2">
        <v>1.7884092791934477E-2</v>
      </c>
      <c r="Z39" s="2">
        <v>1.2432338865029426E-2</v>
      </c>
      <c r="AA39" s="2">
        <f t="shared" si="13"/>
        <v>-30.48381592698809</v>
      </c>
      <c r="AB39" t="s">
        <v>56</v>
      </c>
      <c r="AC39">
        <v>2003</v>
      </c>
      <c r="AD39" s="2">
        <v>1.0112549657315293E-2</v>
      </c>
      <c r="AE39" s="2">
        <v>1.8513508885318206E-2</v>
      </c>
      <c r="AF39" s="2">
        <f t="shared" si="15"/>
        <v>83.074590609557731</v>
      </c>
      <c r="AG39" s="2"/>
      <c r="AH39" s="2"/>
      <c r="AM39" s="2"/>
      <c r="AR39" s="2"/>
      <c r="AW39" s="2"/>
      <c r="AX39" s="2"/>
      <c r="AY39" s="2"/>
    </row>
    <row r="40" spans="1:51" x14ac:dyDescent="0.45">
      <c r="A40" t="s">
        <v>49</v>
      </c>
      <c r="B40">
        <v>2006</v>
      </c>
      <c r="C40" s="2">
        <v>5.6645909825707282E-2</v>
      </c>
      <c r="D40" s="2">
        <v>2.0725023443935876E-2</v>
      </c>
      <c r="E40" s="2">
        <f t="shared" si="0"/>
        <v>-63.413027511246078</v>
      </c>
      <c r="F40" t="s">
        <v>49</v>
      </c>
      <c r="G40">
        <v>2006</v>
      </c>
      <c r="H40" s="2">
        <v>9.1565201224355838E-2</v>
      </c>
      <c r="I40" s="2">
        <v>2.7447837045125444E-2</v>
      </c>
      <c r="J40" s="2">
        <f t="shared" si="1"/>
        <v>-70.023724430122826</v>
      </c>
      <c r="K40" t="s">
        <v>49</v>
      </c>
      <c r="L40">
        <v>2006</v>
      </c>
      <c r="M40" s="2">
        <v>0.29327038578863024</v>
      </c>
      <c r="N40" s="2">
        <v>0.38969373124857282</v>
      </c>
      <c r="O40" s="2">
        <f t="shared" si="2"/>
        <v>32.878650601100276</v>
      </c>
      <c r="P40" s="2"/>
      <c r="Q40" s="2"/>
      <c r="R40" t="s">
        <v>49</v>
      </c>
      <c r="S40">
        <v>2006</v>
      </c>
      <c r="T40" s="2">
        <v>0.25299084674163519</v>
      </c>
      <c r="U40" s="2">
        <v>0.13008529637999419</v>
      </c>
      <c r="V40" s="2">
        <f t="shared" si="12"/>
        <v>-48.581026525104789</v>
      </c>
      <c r="W40" t="s">
        <v>49</v>
      </c>
      <c r="X40">
        <v>2006</v>
      </c>
      <c r="Y40" s="2">
        <v>0.27954286796176003</v>
      </c>
      <c r="Z40" s="2">
        <v>0.1150972607670495</v>
      </c>
      <c r="AA40" s="2">
        <f t="shared" si="13"/>
        <v>-58.826615178465509</v>
      </c>
      <c r="AB40" t="s">
        <v>49</v>
      </c>
      <c r="AC40">
        <v>2006</v>
      </c>
      <c r="AD40" s="2">
        <v>0.17397080675139867</v>
      </c>
      <c r="AE40" s="2">
        <v>0.19515480743024616</v>
      </c>
      <c r="AF40" s="2">
        <f t="shared" si="15"/>
        <v>12.176756016955801</v>
      </c>
      <c r="AG40" s="2"/>
      <c r="AH40" s="2"/>
      <c r="AM40" s="2"/>
      <c r="AR40" s="2"/>
      <c r="AW40" s="2"/>
      <c r="AX40" s="2"/>
      <c r="AY40" s="2"/>
    </row>
    <row r="41" spans="1:51" x14ac:dyDescent="0.45">
      <c r="A41" t="s">
        <v>51</v>
      </c>
      <c r="B41">
        <v>2006</v>
      </c>
      <c r="C41" s="2">
        <v>0.12253192856362875</v>
      </c>
      <c r="D41" s="2">
        <v>9.1556556403551106E-2</v>
      </c>
      <c r="E41" s="2">
        <f t="shared" si="0"/>
        <v>-25.279429225659058</v>
      </c>
      <c r="F41" t="s">
        <v>51</v>
      </c>
      <c r="G41">
        <v>2006</v>
      </c>
      <c r="H41" s="2">
        <v>0.12428420574373228</v>
      </c>
      <c r="I41" s="2">
        <v>9.029854080585091E-2</v>
      </c>
      <c r="J41" s="2">
        <f t="shared" si="1"/>
        <v>-27.345119787753308</v>
      </c>
      <c r="K41" t="s">
        <v>51</v>
      </c>
      <c r="L41">
        <v>2006</v>
      </c>
      <c r="M41" s="2">
        <v>0.134405928661461</v>
      </c>
      <c r="N41" s="2">
        <v>2.2512787378127782E-2</v>
      </c>
      <c r="O41" s="2">
        <f t="shared" si="2"/>
        <v>-83.250153023507949</v>
      </c>
      <c r="P41" s="2"/>
      <c r="Q41" s="2"/>
      <c r="R41" t="s">
        <v>51</v>
      </c>
      <c r="S41">
        <v>2006</v>
      </c>
      <c r="T41" s="2">
        <v>0.19724726882957438</v>
      </c>
      <c r="U41" s="2">
        <v>0.17749855826678118</v>
      </c>
      <c r="V41" s="2">
        <f t="shared" si="12"/>
        <v>-10.012159194891812</v>
      </c>
      <c r="W41" t="s">
        <v>51</v>
      </c>
      <c r="X41">
        <v>2006</v>
      </c>
      <c r="Y41" s="2">
        <v>0.20616641663398641</v>
      </c>
      <c r="Z41" s="2">
        <v>0.18870075545527604</v>
      </c>
      <c r="AA41" s="2">
        <f t="shared" si="13"/>
        <v>-8.4716325111852235</v>
      </c>
      <c r="AB41" t="s">
        <v>51</v>
      </c>
      <c r="AC41">
        <v>2006</v>
      </c>
      <c r="AD41" s="2">
        <v>0.17070347352523491</v>
      </c>
      <c r="AE41" s="2">
        <v>0.12886500063669884</v>
      </c>
      <c r="AF41" s="2">
        <f t="shared" si="15"/>
        <v>-24.509444374224252</v>
      </c>
      <c r="AG41" s="2"/>
      <c r="AH41" s="2"/>
      <c r="AM41" s="2"/>
      <c r="AR41" s="2"/>
      <c r="AW41" s="2"/>
      <c r="AX41" s="2"/>
      <c r="AY41" s="2"/>
    </row>
    <row r="42" spans="1:51" x14ac:dyDescent="0.45">
      <c r="A42" t="s">
        <v>53</v>
      </c>
      <c r="B42">
        <v>2006</v>
      </c>
      <c r="C42" s="2">
        <v>0.15710737290640189</v>
      </c>
      <c r="D42" s="2">
        <v>0.27846487258683383</v>
      </c>
      <c r="E42" s="2">
        <f t="shared" si="0"/>
        <v>77.244942382641554</v>
      </c>
      <c r="F42" t="s">
        <v>53</v>
      </c>
      <c r="G42">
        <v>2006</v>
      </c>
      <c r="H42" s="2">
        <v>0.16166705011822158</v>
      </c>
      <c r="I42" s="2">
        <v>0.27515621509933974</v>
      </c>
      <c r="J42" s="2">
        <f t="shared" si="1"/>
        <v>70.199316990151928</v>
      </c>
      <c r="K42" t="s">
        <v>53</v>
      </c>
      <c r="L42">
        <v>2006</v>
      </c>
      <c r="M42" s="2">
        <v>0.18800522872167388</v>
      </c>
      <c r="N42" s="2">
        <v>9.687556338557915E-2</v>
      </c>
      <c r="O42" s="2">
        <f t="shared" si="2"/>
        <v>-48.471878125796508</v>
      </c>
      <c r="P42" s="2"/>
      <c r="Q42" s="2"/>
      <c r="R42" t="s">
        <v>53</v>
      </c>
      <c r="S42">
        <v>2006</v>
      </c>
      <c r="T42" s="2">
        <v>0.23174735434965849</v>
      </c>
      <c r="U42" s="2">
        <v>0.32237809978753906</v>
      </c>
      <c r="V42" s="2">
        <f t="shared" si="12"/>
        <v>39.107564223209067</v>
      </c>
      <c r="W42" t="s">
        <v>53</v>
      </c>
      <c r="X42">
        <v>2006</v>
      </c>
      <c r="Y42" s="2">
        <v>0.21462807671756381</v>
      </c>
      <c r="Z42" s="2">
        <v>0.3426874175283508</v>
      </c>
      <c r="AA42" s="2">
        <f t="shared" si="13"/>
        <v>59.665698341650099</v>
      </c>
      <c r="AB42" t="s">
        <v>53</v>
      </c>
      <c r="AC42">
        <v>2006</v>
      </c>
      <c r="AD42" s="2">
        <v>0.28269511429144284</v>
      </c>
      <c r="AE42" s="2">
        <v>0.23420661359107706</v>
      </c>
      <c r="AF42" s="2">
        <f t="shared" si="15"/>
        <v>-17.152224516472135</v>
      </c>
      <c r="AG42" s="2"/>
      <c r="AH42" s="2"/>
      <c r="AM42" s="2"/>
      <c r="AR42" s="2"/>
      <c r="AW42" s="2"/>
      <c r="AX42" s="2"/>
      <c r="AY42" s="2"/>
    </row>
    <row r="43" spans="1:51" x14ac:dyDescent="0.45">
      <c r="A43" t="s">
        <v>54</v>
      </c>
      <c r="B43">
        <v>2006</v>
      </c>
      <c r="C43" s="2">
        <v>0.17779093980307217</v>
      </c>
      <c r="D43" s="2">
        <v>0.19259124024871477</v>
      </c>
      <c r="E43" s="2">
        <f t="shared" si="0"/>
        <v>8.3245526808261197</v>
      </c>
      <c r="F43" t="s">
        <v>54</v>
      </c>
      <c r="G43">
        <v>2006</v>
      </c>
      <c r="H43" s="2">
        <v>0.17253670720720929</v>
      </c>
      <c r="I43" s="2">
        <v>0.19337478891712614</v>
      </c>
      <c r="J43" s="2">
        <f t="shared" si="1"/>
        <v>12.077477336397292</v>
      </c>
      <c r="K43" t="s">
        <v>54</v>
      </c>
      <c r="L43">
        <v>2006</v>
      </c>
      <c r="M43" s="2">
        <v>0.14218655080245593</v>
      </c>
      <c r="N43" s="2">
        <v>0.2355948034643679</v>
      </c>
      <c r="O43" s="2">
        <f t="shared" si="2"/>
        <v>65.694154710656747</v>
      </c>
      <c r="P43" s="2"/>
      <c r="Q43" s="2"/>
      <c r="R43" t="s">
        <v>54</v>
      </c>
      <c r="S43">
        <v>2006</v>
      </c>
      <c r="T43" s="2">
        <v>0.1726182441933255</v>
      </c>
      <c r="U43" s="2">
        <v>0.2022660853579954</v>
      </c>
      <c r="V43" s="2">
        <f t="shared" si="12"/>
        <v>17.175381028360771</v>
      </c>
      <c r="W43" t="s">
        <v>54</v>
      </c>
      <c r="X43">
        <v>2006</v>
      </c>
      <c r="Y43" s="2">
        <v>0.15892297540277581</v>
      </c>
      <c r="Z43" s="2">
        <v>0.19806492459412742</v>
      </c>
      <c r="AA43" s="2">
        <f t="shared" si="13"/>
        <v>24.629509416212418</v>
      </c>
      <c r="AB43" t="s">
        <v>54</v>
      </c>
      <c r="AC43">
        <v>2006</v>
      </c>
      <c r="AD43" s="2">
        <v>0.21337599587386533</v>
      </c>
      <c r="AE43" s="2">
        <v>0.22050513174191863</v>
      </c>
      <c r="AF43" s="2">
        <f t="shared" si="15"/>
        <v>3.341114279915351</v>
      </c>
      <c r="AG43" s="2"/>
      <c r="AH43" s="2"/>
      <c r="AM43" s="2"/>
      <c r="AR43" s="2"/>
      <c r="AW43" s="2"/>
      <c r="AX43" s="2"/>
      <c r="AY43" s="2"/>
    </row>
    <row r="44" spans="1:51" x14ac:dyDescent="0.45">
      <c r="A44" t="s">
        <v>55</v>
      </c>
      <c r="B44">
        <v>2006</v>
      </c>
      <c r="C44" s="2">
        <v>0.32852786232465719</v>
      </c>
      <c r="D44" s="2">
        <v>0.36405403059636959</v>
      </c>
      <c r="E44" s="2">
        <f t="shared" si="0"/>
        <v>10.813745908894873</v>
      </c>
      <c r="F44" t="s">
        <v>55</v>
      </c>
      <c r="G44">
        <v>2006</v>
      </c>
      <c r="H44" s="2">
        <v>0.30087734343187028</v>
      </c>
      <c r="I44" s="2">
        <v>0.36198596813611239</v>
      </c>
      <c r="J44" s="2">
        <f t="shared" si="1"/>
        <v>20.310144993712147</v>
      </c>
      <c r="K44" t="s">
        <v>55</v>
      </c>
      <c r="L44">
        <v>2006</v>
      </c>
      <c r="M44" s="2">
        <v>0.14115895301850132</v>
      </c>
      <c r="N44" s="2">
        <v>0.25055239588120293</v>
      </c>
      <c r="O44" s="2">
        <f t="shared" si="2"/>
        <v>77.496638026469157</v>
      </c>
      <c r="P44" s="2"/>
      <c r="Q44" s="2"/>
      <c r="R44" t="s">
        <v>55</v>
      </c>
      <c r="S44">
        <v>2006</v>
      </c>
      <c r="T44" s="2">
        <v>0.1285043276109491</v>
      </c>
      <c r="U44" s="2">
        <v>0.15565037777077384</v>
      </c>
      <c r="V44" s="2">
        <f t="shared" si="12"/>
        <v>21.124619430724749</v>
      </c>
      <c r="W44" t="s">
        <v>55</v>
      </c>
      <c r="X44">
        <v>2006</v>
      </c>
      <c r="Y44" s="2">
        <v>0.12396009833179457</v>
      </c>
      <c r="Z44" s="2">
        <v>0.14192233553094816</v>
      </c>
      <c r="AA44" s="2">
        <f t="shared" si="13"/>
        <v>14.490337972365458</v>
      </c>
      <c r="AB44" t="s">
        <v>55</v>
      </c>
      <c r="AC44">
        <v>2006</v>
      </c>
      <c r="AD44" s="2">
        <v>0.14202816357005216</v>
      </c>
      <c r="AE44" s="2">
        <v>0.21524971548859748</v>
      </c>
      <c r="AF44" s="2">
        <f t="shared" si="15"/>
        <v>51.554248170244385</v>
      </c>
      <c r="AG44" s="2"/>
      <c r="AH44" s="2"/>
      <c r="AM44" s="2"/>
      <c r="AR44" s="2"/>
      <c r="AW44" s="2"/>
      <c r="AX44" s="2"/>
      <c r="AY44" s="2"/>
    </row>
    <row r="45" spans="1:51" x14ac:dyDescent="0.45">
      <c r="A45" t="s">
        <v>56</v>
      </c>
      <c r="B45">
        <v>2006</v>
      </c>
      <c r="C45" s="2">
        <v>0.15739598657653273</v>
      </c>
      <c r="D45" s="2">
        <v>5.2608276720594836E-2</v>
      </c>
      <c r="E45" s="2">
        <f t="shared" si="0"/>
        <v>-66.575846141404355</v>
      </c>
      <c r="F45" t="s">
        <v>56</v>
      </c>
      <c r="G45">
        <v>2006</v>
      </c>
      <c r="H45" s="2">
        <v>0.14906949227461078</v>
      </c>
      <c r="I45" s="2">
        <v>5.1736649996445234E-2</v>
      </c>
      <c r="J45" s="2">
        <f t="shared" si="1"/>
        <v>-65.293602864670845</v>
      </c>
      <c r="K45" t="s">
        <v>56</v>
      </c>
      <c r="L45">
        <v>2006</v>
      </c>
      <c r="M45" s="2">
        <v>0.10097295300727767</v>
      </c>
      <c r="N45" s="2">
        <v>4.7707186421493755E-3</v>
      </c>
      <c r="O45" s="2">
        <f t="shared" si="2"/>
        <v>-95.275250945859199</v>
      </c>
      <c r="P45" s="2"/>
      <c r="Q45" s="2"/>
      <c r="R45" t="s">
        <v>56</v>
      </c>
      <c r="S45">
        <v>2006</v>
      </c>
      <c r="T45" s="2">
        <v>1.6891958274857281E-2</v>
      </c>
      <c r="U45" s="2">
        <v>1.2121582436916517E-2</v>
      </c>
      <c r="V45" s="2">
        <f t="shared" si="12"/>
        <v>-28.24051397901685</v>
      </c>
      <c r="W45" t="s">
        <v>56</v>
      </c>
      <c r="X45">
        <v>2006</v>
      </c>
      <c r="Y45" s="2">
        <v>1.6779564952119214E-2</v>
      </c>
      <c r="Z45" s="2">
        <v>1.3527306124248094E-2</v>
      </c>
      <c r="AA45" s="2">
        <f t="shared" si="13"/>
        <v>-19.38225953504455</v>
      </c>
      <c r="AB45" t="s">
        <v>56</v>
      </c>
      <c r="AC45">
        <v>2006</v>
      </c>
      <c r="AD45" s="2">
        <v>1.7226445988006076E-2</v>
      </c>
      <c r="AE45" s="2">
        <v>6.0187311114617273E-3</v>
      </c>
      <c r="AF45" s="2">
        <f t="shared" si="15"/>
        <v>-65.061097828000769</v>
      </c>
      <c r="AG45" s="2"/>
      <c r="AH45" s="2"/>
      <c r="AM45" s="2"/>
      <c r="AR45" s="2"/>
      <c r="AW45" s="2"/>
      <c r="AX45" s="2"/>
      <c r="AY45" s="2"/>
    </row>
    <row r="46" spans="1:51" x14ac:dyDescent="0.45">
      <c r="A46" t="s">
        <v>49</v>
      </c>
      <c r="B46">
        <v>2009</v>
      </c>
      <c r="C46" s="2">
        <v>4.376962524201268E-2</v>
      </c>
      <c r="D46" s="2">
        <v>2.6298443353461372E-2</v>
      </c>
      <c r="E46" s="2">
        <f t="shared" si="0"/>
        <v>-39.916224532307467</v>
      </c>
      <c r="F46" t="s">
        <v>49</v>
      </c>
      <c r="G46">
        <v>2009</v>
      </c>
      <c r="H46" s="2">
        <v>0.12483901328673307</v>
      </c>
      <c r="I46" s="2">
        <v>3.8460324843754175E-2</v>
      </c>
      <c r="J46" s="2">
        <f t="shared" si="1"/>
        <v>-69.192062776547544</v>
      </c>
      <c r="K46" t="s">
        <v>49</v>
      </c>
      <c r="L46">
        <v>2009</v>
      </c>
      <c r="M46" s="2">
        <v>0.43562296832357689</v>
      </c>
      <c r="N46" s="2">
        <v>0.3106458690873673</v>
      </c>
      <c r="O46" s="2">
        <f t="shared" si="2"/>
        <v>-28.689281402485122</v>
      </c>
      <c r="P46" s="2"/>
      <c r="Q46" s="2"/>
      <c r="R46" t="s">
        <v>49</v>
      </c>
      <c r="S46">
        <v>2009</v>
      </c>
      <c r="T46" s="2">
        <v>0.28544350373516653</v>
      </c>
      <c r="U46" s="2">
        <v>0.16499212615317693</v>
      </c>
      <c r="V46" s="2">
        <f t="shared" si="12"/>
        <v>-42.197974732591554</v>
      </c>
      <c r="W46" t="s">
        <v>49</v>
      </c>
      <c r="X46">
        <v>2009</v>
      </c>
      <c r="Y46" s="2">
        <v>0.31785910530436301</v>
      </c>
      <c r="Z46" s="2">
        <v>0.13568118089008538</v>
      </c>
      <c r="AA46" s="2">
        <f t="shared" si="13"/>
        <v>-57.314049330074994</v>
      </c>
      <c r="AB46" t="s">
        <v>49</v>
      </c>
      <c r="AC46">
        <v>2009</v>
      </c>
      <c r="AD46" s="2">
        <v>0.18922845351654485</v>
      </c>
      <c r="AE46" s="2">
        <v>0.28168078599602997</v>
      </c>
      <c r="AF46" s="2">
        <f t="shared" si="15"/>
        <v>48.85752156263419</v>
      </c>
      <c r="AG46" s="2"/>
      <c r="AH46" s="2"/>
      <c r="AM46" s="2"/>
      <c r="AR46" s="2"/>
      <c r="AW46" s="2"/>
      <c r="AX46" s="2"/>
      <c r="AY46" s="2"/>
    </row>
    <row r="47" spans="1:51" x14ac:dyDescent="0.45">
      <c r="A47" t="s">
        <v>51</v>
      </c>
      <c r="B47">
        <v>2009</v>
      </c>
      <c r="C47" s="2">
        <v>0.14173248297251159</v>
      </c>
      <c r="D47" s="2">
        <v>0.14872620921610544</v>
      </c>
      <c r="E47" s="2">
        <f t="shared" si="0"/>
        <v>4.9344554592684648</v>
      </c>
      <c r="F47" t="s">
        <v>51</v>
      </c>
      <c r="G47">
        <v>2009</v>
      </c>
      <c r="H47" s="2">
        <v>0.13771972275337058</v>
      </c>
      <c r="I47" s="2">
        <v>0.1430137773733115</v>
      </c>
      <c r="J47" s="2">
        <f t="shared" si="1"/>
        <v>3.8440787667148832</v>
      </c>
      <c r="K47" t="s">
        <v>51</v>
      </c>
      <c r="L47">
        <v>2009</v>
      </c>
      <c r="M47" s="2">
        <v>0.1223365858924976</v>
      </c>
      <c r="N47" s="2">
        <v>1.51683143726703E-2</v>
      </c>
      <c r="O47" s="2">
        <f t="shared" si="2"/>
        <v>-87.60116259415696</v>
      </c>
      <c r="P47" s="2"/>
      <c r="Q47" s="2"/>
      <c r="R47" t="s">
        <v>51</v>
      </c>
      <c r="S47">
        <v>2009</v>
      </c>
      <c r="T47" s="2">
        <v>0.20213532589494379</v>
      </c>
      <c r="U47" s="2">
        <v>0.20902284646595734</v>
      </c>
      <c r="V47" s="2">
        <f t="shared" si="12"/>
        <v>3.4073809417128875</v>
      </c>
      <c r="W47" t="s">
        <v>51</v>
      </c>
      <c r="X47">
        <v>2009</v>
      </c>
      <c r="Y47" s="2">
        <v>0.20777867423498422</v>
      </c>
      <c r="Z47" s="2">
        <v>0.23220890098805561</v>
      </c>
      <c r="AA47" s="2">
        <f t="shared" si="13"/>
        <v>11.757812414108667</v>
      </c>
      <c r="AB47" t="s">
        <v>51</v>
      </c>
      <c r="AC47">
        <v>2009</v>
      </c>
      <c r="AD47" s="2">
        <v>0.18538490271433142</v>
      </c>
      <c r="AE47" s="2">
        <v>0.11671775002698924</v>
      </c>
      <c r="AF47" s="2">
        <f t="shared" si="15"/>
        <v>-37.040315409693704</v>
      </c>
      <c r="AG47" s="2"/>
      <c r="AH47" s="2"/>
      <c r="AM47" s="2"/>
      <c r="AR47" s="2"/>
      <c r="AW47" s="2"/>
      <c r="AX47" s="2"/>
      <c r="AY47" s="2"/>
    </row>
    <row r="48" spans="1:51" x14ac:dyDescent="0.45">
      <c r="A48" t="s">
        <v>53</v>
      </c>
      <c r="B48">
        <v>2009</v>
      </c>
      <c r="C48" s="2">
        <v>0.15422591221182921</v>
      </c>
      <c r="D48" s="2">
        <v>0.1634384357783836</v>
      </c>
      <c r="E48" s="2">
        <f t="shared" si="0"/>
        <v>5.9733954135417857</v>
      </c>
      <c r="F48" t="s">
        <v>53</v>
      </c>
      <c r="G48">
        <v>2009</v>
      </c>
      <c r="H48" s="2">
        <v>0.15503697467760486</v>
      </c>
      <c r="I48" s="2">
        <v>0.1783711245830312</v>
      </c>
      <c r="J48" s="2">
        <f t="shared" si="1"/>
        <v>15.050699972667211</v>
      </c>
      <c r="K48" t="s">
        <v>53</v>
      </c>
      <c r="L48">
        <v>2009</v>
      </c>
      <c r="M48" s="2">
        <v>0.15814622722008903</v>
      </c>
      <c r="N48" s="2">
        <v>0.51256793718621585</v>
      </c>
      <c r="O48" s="2">
        <f t="shared" si="2"/>
        <v>224.11012655577613</v>
      </c>
      <c r="P48" s="2"/>
      <c r="Q48" s="2"/>
      <c r="R48" t="s">
        <v>53</v>
      </c>
      <c r="S48">
        <v>2009</v>
      </c>
      <c r="T48" s="2">
        <v>0.21747069175518613</v>
      </c>
      <c r="U48" s="2">
        <v>0.28707657302256595</v>
      </c>
      <c r="V48" s="2">
        <f t="shared" si="12"/>
        <v>32.007016994150845</v>
      </c>
      <c r="W48" t="s">
        <v>53</v>
      </c>
      <c r="X48">
        <v>2009</v>
      </c>
      <c r="Y48" s="2">
        <v>0.20031597393338307</v>
      </c>
      <c r="Z48" s="2">
        <v>0.2776648622611953</v>
      </c>
      <c r="AA48" s="2">
        <f t="shared" si="13"/>
        <v>38.613439961375875</v>
      </c>
      <c r="AB48" t="s">
        <v>53</v>
      </c>
      <c r="AC48">
        <v>2009</v>
      </c>
      <c r="AD48" s="2">
        <v>0.26838882860320079</v>
      </c>
      <c r="AE48" s="2">
        <v>0.32454516728710475</v>
      </c>
      <c r="AF48" s="2">
        <f t="shared" si="15"/>
        <v>20.923500794039473</v>
      </c>
      <c r="AG48" s="2"/>
      <c r="AH48" s="2"/>
      <c r="AM48" s="2"/>
      <c r="AR48" s="2"/>
      <c r="AW48" s="2"/>
      <c r="AX48" s="2"/>
      <c r="AY48" s="2"/>
    </row>
    <row r="49" spans="1:51" x14ac:dyDescent="0.45">
      <c r="A49" t="s">
        <v>54</v>
      </c>
      <c r="B49">
        <v>2009</v>
      </c>
      <c r="C49" s="2">
        <v>0.1739173680330344</v>
      </c>
      <c r="D49" s="2">
        <v>0.33557238704690484</v>
      </c>
      <c r="E49" s="2">
        <f t="shared" si="0"/>
        <v>92.949324637413568</v>
      </c>
      <c r="F49" t="s">
        <v>54</v>
      </c>
      <c r="G49">
        <v>2009</v>
      </c>
      <c r="H49" s="2">
        <v>0.16242120666620183</v>
      </c>
      <c r="I49" s="2">
        <v>0.32369336158414097</v>
      </c>
      <c r="J49" s="2">
        <f t="shared" si="1"/>
        <v>99.292548201156919</v>
      </c>
      <c r="K49" t="s">
        <v>54</v>
      </c>
      <c r="L49">
        <v>2009</v>
      </c>
      <c r="M49" s="2">
        <v>0.11835004018157139</v>
      </c>
      <c r="N49" s="2">
        <v>5.783819655504438E-2</v>
      </c>
      <c r="O49" s="2">
        <f t="shared" si="2"/>
        <v>-51.129550555023364</v>
      </c>
      <c r="P49" s="2"/>
      <c r="Q49" s="2"/>
      <c r="R49" t="s">
        <v>54</v>
      </c>
      <c r="S49">
        <v>2009</v>
      </c>
      <c r="T49" s="2">
        <v>0.1608356215223733</v>
      </c>
      <c r="U49" s="2">
        <v>0.18768682160154895</v>
      </c>
      <c r="V49" s="2">
        <f t="shared" si="12"/>
        <v>16.694809162931904</v>
      </c>
      <c r="W49" t="s">
        <v>54</v>
      </c>
      <c r="X49">
        <v>2009</v>
      </c>
      <c r="Y49" s="2">
        <v>0.14696643973360368</v>
      </c>
      <c r="Z49" s="2">
        <v>0.20380251654774267</v>
      </c>
      <c r="AA49" s="2">
        <f t="shared" si="13"/>
        <v>38.672826882900594</v>
      </c>
      <c r="AB49" t="s">
        <v>54</v>
      </c>
      <c r="AC49">
        <v>2009</v>
      </c>
      <c r="AD49" s="2">
        <v>0.2020017254260478</v>
      </c>
      <c r="AE49" s="2">
        <v>0.12352925763258525</v>
      </c>
      <c r="AF49" s="2">
        <f t="shared" si="15"/>
        <v>-38.847424509842156</v>
      </c>
      <c r="AG49" s="2"/>
      <c r="AH49" s="2"/>
      <c r="AM49" s="2"/>
      <c r="AR49" s="2"/>
      <c r="AW49" s="2"/>
      <c r="AX49" s="2"/>
      <c r="AY49" s="2"/>
    </row>
    <row r="50" spans="1:51" x14ac:dyDescent="0.45">
      <c r="A50" t="s">
        <v>55</v>
      </c>
      <c r="B50">
        <v>2009</v>
      </c>
      <c r="C50" s="2">
        <v>0.31230443886758713</v>
      </c>
      <c r="D50" s="2">
        <v>0.25987635133216896</v>
      </c>
      <c r="E50" s="2">
        <f t="shared" si="0"/>
        <v>-16.787493551331483</v>
      </c>
      <c r="F50" t="s">
        <v>55</v>
      </c>
      <c r="G50">
        <v>2009</v>
      </c>
      <c r="H50" s="2">
        <v>0.26912246961107861</v>
      </c>
      <c r="I50" s="2">
        <v>0.25160375074917746</v>
      </c>
      <c r="J50" s="2">
        <f t="shared" si="1"/>
        <v>-6.5095712324646344</v>
      </c>
      <c r="K50" t="s">
        <v>55</v>
      </c>
      <c r="L50">
        <v>2009</v>
      </c>
      <c r="M50" s="2">
        <v>0.10358201697544142</v>
      </c>
      <c r="N50" s="2">
        <v>6.6461156341495298E-2</v>
      </c>
      <c r="O50" s="2">
        <f t="shared" si="2"/>
        <v>-35.837167220587354</v>
      </c>
      <c r="P50" s="2"/>
      <c r="Q50" s="2"/>
      <c r="R50" t="s">
        <v>55</v>
      </c>
      <c r="S50">
        <v>2009</v>
      </c>
      <c r="T50" s="2">
        <v>0.11786871958752169</v>
      </c>
      <c r="U50" s="2">
        <v>0.13200095147860838</v>
      </c>
      <c r="V50" s="2">
        <f t="shared" si="12"/>
        <v>11.989806914457066</v>
      </c>
      <c r="W50" t="s">
        <v>55</v>
      </c>
      <c r="X50">
        <v>2009</v>
      </c>
      <c r="Y50" s="2">
        <v>0.11076008298722269</v>
      </c>
      <c r="Z50" s="2">
        <v>0.13394113416695722</v>
      </c>
      <c r="AA50" s="2">
        <f t="shared" si="13"/>
        <v>20.929066279598853</v>
      </c>
      <c r="AB50" t="s">
        <v>55</v>
      </c>
      <c r="AC50">
        <v>2009</v>
      </c>
      <c r="AD50" s="2">
        <v>0.13896836896542014</v>
      </c>
      <c r="AE50" s="2">
        <v>0.12427696592571624</v>
      </c>
      <c r="AF50" s="2">
        <f t="shared" si="15"/>
        <v>-10.571760429425201</v>
      </c>
      <c r="AG50" s="2"/>
      <c r="AH50" s="2"/>
      <c r="AM50" s="2"/>
      <c r="AR50" s="2"/>
      <c r="AW50" s="2"/>
      <c r="AX50" s="2"/>
      <c r="AY50" s="2"/>
    </row>
    <row r="51" spans="1:51" x14ac:dyDescent="0.45">
      <c r="A51" t="s">
        <v>56</v>
      </c>
      <c r="B51">
        <v>2009</v>
      </c>
      <c r="C51" s="2">
        <v>0.17405017267302494</v>
      </c>
      <c r="D51" s="2">
        <v>6.6088173272975823E-2</v>
      </c>
      <c r="E51" s="2">
        <f t="shared" si="0"/>
        <v>-62.029240041530592</v>
      </c>
      <c r="F51" t="s">
        <v>56</v>
      </c>
      <c r="G51">
        <v>2009</v>
      </c>
      <c r="H51" s="2">
        <v>0.150860613005011</v>
      </c>
      <c r="I51" s="2">
        <v>6.4857660866584635E-2</v>
      </c>
      <c r="J51" s="2">
        <f t="shared" si="1"/>
        <v>-57.008221314578435</v>
      </c>
      <c r="K51" t="s">
        <v>56</v>
      </c>
      <c r="L51">
        <v>2009</v>
      </c>
      <c r="M51" s="2">
        <v>6.1962161406823646E-2</v>
      </c>
      <c r="N51" s="2">
        <v>3.7318526457206798E-2</v>
      </c>
      <c r="O51" s="2">
        <f t="shared" si="2"/>
        <v>-39.772071196507582</v>
      </c>
      <c r="P51" s="2"/>
      <c r="Q51" s="2"/>
      <c r="R51" t="s">
        <v>56</v>
      </c>
      <c r="S51">
        <v>2009</v>
      </c>
      <c r="T51" s="2">
        <v>1.6246137504808539E-2</v>
      </c>
      <c r="U51" s="2">
        <v>1.9220681278142498E-2</v>
      </c>
      <c r="V51" s="2">
        <f t="shared" si="12"/>
        <v>18.309236718287977</v>
      </c>
      <c r="W51" t="s">
        <v>56</v>
      </c>
      <c r="X51">
        <v>2009</v>
      </c>
      <c r="Y51" s="2">
        <v>1.6319723806443257E-2</v>
      </c>
      <c r="Z51" s="2">
        <v>1.6701405145963605E-2</v>
      </c>
      <c r="AA51" s="2">
        <f t="shared" si="13"/>
        <v>2.3387732785628055</v>
      </c>
      <c r="AB51" t="s">
        <v>56</v>
      </c>
      <c r="AC51">
        <v>2009</v>
      </c>
      <c r="AD51" s="2">
        <v>1.6027720774454985E-2</v>
      </c>
      <c r="AE51" s="2">
        <v>2.9250073131574475E-2</v>
      </c>
      <c r="AF51" s="2">
        <f t="shared" si="15"/>
        <v>82.496772580374014</v>
      </c>
      <c r="AG51" s="2"/>
      <c r="AH51" s="2"/>
      <c r="AM51" s="2"/>
      <c r="AR51" s="2"/>
      <c r="AW51" s="2"/>
      <c r="AX51" s="2"/>
      <c r="AY51" s="2"/>
    </row>
    <row r="52" spans="1:51" x14ac:dyDescent="0.45">
      <c r="A52" t="s">
        <v>49</v>
      </c>
      <c r="B52">
        <v>2012</v>
      </c>
      <c r="C52" s="2">
        <v>9.1176468672975131E-2</v>
      </c>
      <c r="D52" s="2">
        <v>2.7286857251894867E-2</v>
      </c>
      <c r="E52" s="2">
        <f t="shared" si="0"/>
        <v>-70.072478514423167</v>
      </c>
      <c r="F52" t="s">
        <v>49</v>
      </c>
      <c r="G52">
        <v>2012</v>
      </c>
      <c r="H52" s="2">
        <v>0.12171582307120564</v>
      </c>
      <c r="I52" s="2">
        <v>2.8962009819263917E-2</v>
      </c>
      <c r="J52" s="2">
        <f t="shared" si="1"/>
        <v>-76.205222058663068</v>
      </c>
      <c r="K52" t="s">
        <v>49</v>
      </c>
      <c r="L52">
        <v>2012</v>
      </c>
      <c r="M52" s="2">
        <v>0.29947942535802741</v>
      </c>
      <c r="N52" s="2">
        <v>0.18611234448774697</v>
      </c>
      <c r="O52" s="2">
        <f t="shared" si="2"/>
        <v>-37.854714304580419</v>
      </c>
      <c r="P52" s="2"/>
      <c r="Q52" s="2"/>
      <c r="R52" t="s">
        <v>49</v>
      </c>
      <c r="S52">
        <v>2012</v>
      </c>
      <c r="T52" s="2">
        <v>0.28414173056731851</v>
      </c>
      <c r="U52" s="2">
        <v>0.15567534944583061</v>
      </c>
      <c r="V52" s="2">
        <f t="shared" si="12"/>
        <v>-45.212078093911586</v>
      </c>
      <c r="W52" t="s">
        <v>49</v>
      </c>
      <c r="X52">
        <v>2012</v>
      </c>
      <c r="Y52" s="2">
        <v>0.31673266540003819</v>
      </c>
      <c r="Z52" s="2">
        <v>0.1461044109020575</v>
      </c>
      <c r="AA52" s="2">
        <f t="shared" si="13"/>
        <v>-53.871378969540324</v>
      </c>
      <c r="AB52" t="s">
        <v>49</v>
      </c>
      <c r="AC52">
        <v>2012</v>
      </c>
      <c r="AD52" s="2">
        <v>0.17931018830713102</v>
      </c>
      <c r="AE52" s="2">
        <v>0.18710095652381234</v>
      </c>
      <c r="AF52" s="2">
        <f t="shared" si="15"/>
        <v>4.3448552980921065</v>
      </c>
      <c r="AG52" s="2"/>
      <c r="AH52" s="2"/>
      <c r="AM52" s="2"/>
      <c r="AR52" s="2"/>
      <c r="AW52" s="2"/>
      <c r="AX52" s="2"/>
      <c r="AY52" s="2"/>
    </row>
    <row r="53" spans="1:51" x14ac:dyDescent="0.45">
      <c r="A53" t="s">
        <v>51</v>
      </c>
      <c r="B53">
        <v>2012</v>
      </c>
      <c r="C53" s="2">
        <v>0.13523282294509914</v>
      </c>
      <c r="D53" s="2">
        <v>8.1374131860713822E-2</v>
      </c>
      <c r="E53" s="2">
        <f t="shared" si="0"/>
        <v>-39.826641130053524</v>
      </c>
      <c r="F53" t="s">
        <v>51</v>
      </c>
      <c r="G53">
        <v>2012</v>
      </c>
      <c r="H53" s="2">
        <v>0.13941605399192841</v>
      </c>
      <c r="I53" s="2">
        <v>8.2374041395291239E-2</v>
      </c>
      <c r="J53" s="2">
        <f t="shared" si="1"/>
        <v>-40.914952735600778</v>
      </c>
      <c r="K53" t="s">
        <v>51</v>
      </c>
      <c r="L53">
        <v>2012</v>
      </c>
      <c r="M53" s="2">
        <v>0.16376582283070681</v>
      </c>
      <c r="N53" s="2">
        <v>0.17617810501192166</v>
      </c>
      <c r="O53" s="2">
        <f t="shared" si="2"/>
        <v>7.5792872814775656</v>
      </c>
      <c r="P53" s="2"/>
      <c r="Q53" s="2"/>
      <c r="R53" t="s">
        <v>51</v>
      </c>
      <c r="S53">
        <v>2012</v>
      </c>
      <c r="T53" s="2">
        <v>0.20955184255229542</v>
      </c>
      <c r="U53" s="2">
        <v>0.21964592904880412</v>
      </c>
      <c r="V53" s="2">
        <f t="shared" si="12"/>
        <v>4.8169877074641478</v>
      </c>
      <c r="W53" t="s">
        <v>51</v>
      </c>
      <c r="X53">
        <v>2012</v>
      </c>
      <c r="Y53" s="2">
        <v>0.21430820776343237</v>
      </c>
      <c r="Z53" s="2">
        <v>0.22144551342724181</v>
      </c>
      <c r="AA53" s="2">
        <f t="shared" si="13"/>
        <v>3.3303930532087072</v>
      </c>
      <c r="AB53" t="s">
        <v>51</v>
      </c>
      <c r="AC53">
        <v>2012</v>
      </c>
      <c r="AD53" s="2">
        <v>0.19425258516077057</v>
      </c>
      <c r="AE53" s="2">
        <v>0.21373710084749345</v>
      </c>
      <c r="AF53" s="2">
        <f t="shared" si="15"/>
        <v>10.030505215977836</v>
      </c>
      <c r="AG53" s="2"/>
      <c r="AH53" s="2"/>
      <c r="AM53" s="2"/>
      <c r="AR53" s="2"/>
      <c r="AW53" s="2"/>
      <c r="AX53" s="2"/>
      <c r="AY53" s="2"/>
    </row>
    <row r="54" spans="1:51" x14ac:dyDescent="0.45">
      <c r="A54" t="s">
        <v>53</v>
      </c>
      <c r="B54">
        <v>2012</v>
      </c>
      <c r="C54" s="2">
        <v>0.1528290021954572</v>
      </c>
      <c r="D54" s="2">
        <v>0.13516574173791213</v>
      </c>
      <c r="E54" s="2">
        <f t="shared" si="0"/>
        <v>-11.557531753662204</v>
      </c>
      <c r="F54" t="s">
        <v>53</v>
      </c>
      <c r="G54">
        <v>2012</v>
      </c>
      <c r="H54" s="2">
        <v>0.15716653229201316</v>
      </c>
      <c r="I54" s="2">
        <v>0.13614478187253345</v>
      </c>
      <c r="J54" s="2">
        <f t="shared" si="1"/>
        <v>-13.375462391968792</v>
      </c>
      <c r="K54" t="s">
        <v>53</v>
      </c>
      <c r="L54">
        <v>2012</v>
      </c>
      <c r="M54" s="2">
        <v>0.182414445687195</v>
      </c>
      <c r="N54" s="2">
        <v>0.22799103385378602</v>
      </c>
      <c r="O54" s="2">
        <f t="shared" si="2"/>
        <v>24.985185792108773</v>
      </c>
      <c r="P54" s="2"/>
      <c r="Q54" s="2"/>
      <c r="R54" t="s">
        <v>53</v>
      </c>
      <c r="S54">
        <v>2012</v>
      </c>
      <c r="T54" s="2">
        <v>0.21361113497351389</v>
      </c>
      <c r="U54" s="2">
        <v>0.28347356891332404</v>
      </c>
      <c r="V54" s="2">
        <f t="shared" si="12"/>
        <v>32.705427059536269</v>
      </c>
      <c r="W54" t="s">
        <v>53</v>
      </c>
      <c r="X54">
        <v>2012</v>
      </c>
      <c r="Y54" s="2">
        <v>0.19890005708701539</v>
      </c>
      <c r="Z54" s="2">
        <v>0.28815041955655779</v>
      </c>
      <c r="AA54" s="2">
        <f t="shared" si="13"/>
        <v>44.871964230003663</v>
      </c>
      <c r="AB54" t="s">
        <v>53</v>
      </c>
      <c r="AC54">
        <v>2012</v>
      </c>
      <c r="AD54" s="2">
        <v>0.26093058104239703</v>
      </c>
      <c r="AE54" s="2">
        <v>0.26811740817689445</v>
      </c>
      <c r="AF54" s="2">
        <f t="shared" si="15"/>
        <v>2.7543061858777205</v>
      </c>
      <c r="AG54" s="2"/>
      <c r="AH54" s="2"/>
      <c r="AM54" s="2"/>
      <c r="AR54" s="2"/>
      <c r="AW54" s="2"/>
      <c r="AX54" s="2"/>
      <c r="AY54" s="2"/>
    </row>
    <row r="55" spans="1:51" x14ac:dyDescent="0.45">
      <c r="A55" t="s">
        <v>54</v>
      </c>
      <c r="B55">
        <v>2012</v>
      </c>
      <c r="C55" s="2">
        <v>0.17789132011000999</v>
      </c>
      <c r="D55" s="2">
        <v>0.1791431266465533</v>
      </c>
      <c r="E55" s="2">
        <f t="shared" si="0"/>
        <v>0.70369174604425488</v>
      </c>
      <c r="F55" t="s">
        <v>54</v>
      </c>
      <c r="G55">
        <v>2012</v>
      </c>
      <c r="H55" s="2">
        <v>0.17183439498665992</v>
      </c>
      <c r="I55" s="2">
        <v>0.17850912093436688</v>
      </c>
      <c r="J55" s="2">
        <f t="shared" si="1"/>
        <v>3.884394592959775</v>
      </c>
      <c r="K55" t="s">
        <v>54</v>
      </c>
      <c r="L55">
        <v>2012</v>
      </c>
      <c r="M55" s="2">
        <v>0.13657821980141621</v>
      </c>
      <c r="N55" s="2">
        <v>0.11903142810050507</v>
      </c>
      <c r="O55" s="2">
        <f t="shared" si="2"/>
        <v>-12.847430378301938</v>
      </c>
      <c r="P55" s="2"/>
      <c r="Q55" s="2"/>
      <c r="R55" t="s">
        <v>54</v>
      </c>
      <c r="S55">
        <v>2012</v>
      </c>
      <c r="T55" s="2">
        <v>0.16207816521202437</v>
      </c>
      <c r="U55" s="2">
        <v>0.19036718930063465</v>
      </c>
      <c r="V55" s="2">
        <f t="shared" si="12"/>
        <v>17.453939000113728</v>
      </c>
      <c r="W55" t="s">
        <v>54</v>
      </c>
      <c r="X55">
        <v>2012</v>
      </c>
      <c r="Y55" s="2">
        <v>0.14764619748149246</v>
      </c>
      <c r="Z55" s="2">
        <v>0.18299651396502944</v>
      </c>
      <c r="AA55" s="2">
        <f t="shared" si="13"/>
        <v>23.942585103126792</v>
      </c>
      <c r="AB55" t="s">
        <v>54</v>
      </c>
      <c r="AC55">
        <v>2012</v>
      </c>
      <c r="AD55" s="2">
        <v>0.20849982948174658</v>
      </c>
      <c r="AE55" s="2">
        <v>0.21456836308696095</v>
      </c>
      <c r="AF55" s="2">
        <f t="shared" si="15"/>
        <v>2.9105700567230652</v>
      </c>
      <c r="AG55" s="2"/>
      <c r="AH55" s="2"/>
      <c r="AM55" s="2"/>
      <c r="AR55" s="2"/>
      <c r="AW55" s="2"/>
      <c r="AX55" s="2"/>
      <c r="AY55" s="2"/>
    </row>
    <row r="56" spans="1:51" x14ac:dyDescent="0.45">
      <c r="A56" t="s">
        <v>55</v>
      </c>
      <c r="B56">
        <v>2012</v>
      </c>
      <c r="C56" s="2">
        <v>0.2833235865710757</v>
      </c>
      <c r="D56" s="2">
        <v>0.44789130728373733</v>
      </c>
      <c r="E56" s="2">
        <f t="shared" si="0"/>
        <v>58.084723091480946</v>
      </c>
      <c r="F56" t="s">
        <v>55</v>
      </c>
      <c r="G56">
        <v>2012</v>
      </c>
      <c r="H56" s="2">
        <v>0.26007203889590486</v>
      </c>
      <c r="I56" s="2">
        <v>0.44614164948984986</v>
      </c>
      <c r="J56" s="2">
        <f t="shared" si="1"/>
        <v>71.545411565147262</v>
      </c>
      <c r="K56" t="s">
        <v>55</v>
      </c>
      <c r="L56">
        <v>2012</v>
      </c>
      <c r="M56" s="2">
        <v>0.12472933257721378</v>
      </c>
      <c r="N56" s="2">
        <v>0.28200178950289279</v>
      </c>
      <c r="O56" s="2">
        <f t="shared" si="2"/>
        <v>126.09099533850178</v>
      </c>
      <c r="P56" s="2"/>
      <c r="Q56" s="2"/>
      <c r="R56" t="s">
        <v>55</v>
      </c>
      <c r="S56">
        <v>2012</v>
      </c>
      <c r="T56" s="2">
        <v>0.11476356367483832</v>
      </c>
      <c r="U56" s="2">
        <v>0.13608292109971951</v>
      </c>
      <c r="V56" s="2">
        <f t="shared" si="12"/>
        <v>18.576764908839625</v>
      </c>
      <c r="W56" t="s">
        <v>55</v>
      </c>
      <c r="X56">
        <v>2012</v>
      </c>
      <c r="Y56" s="2">
        <v>0.10682879271822536</v>
      </c>
      <c r="Z56" s="2">
        <v>0.14342619140530125</v>
      </c>
      <c r="AA56" s="2">
        <f t="shared" si="13"/>
        <v>34.257991460791118</v>
      </c>
      <c r="AB56" t="s">
        <v>55</v>
      </c>
      <c r="AC56">
        <v>2012</v>
      </c>
      <c r="AD56" s="2">
        <v>0.14028643625068041</v>
      </c>
      <c r="AE56" s="2">
        <v>0.11197173009841895</v>
      </c>
      <c r="AF56" s="2">
        <f t="shared" si="15"/>
        <v>-20.183495218073254</v>
      </c>
      <c r="AG56" s="2"/>
      <c r="AH56" s="2"/>
      <c r="AM56" s="2"/>
      <c r="AR56" s="2"/>
      <c r="AW56" s="2"/>
      <c r="AX56" s="2"/>
      <c r="AY56" s="2"/>
    </row>
    <row r="57" spans="1:51" x14ac:dyDescent="0.45">
      <c r="A57" t="s">
        <v>56</v>
      </c>
      <c r="B57">
        <v>2012</v>
      </c>
      <c r="C57" s="2">
        <v>0.1595467995053827</v>
      </c>
      <c r="D57" s="2">
        <v>0.12913883521918859</v>
      </c>
      <c r="E57" s="2">
        <f t="shared" si="0"/>
        <v>-19.058962248357869</v>
      </c>
      <c r="F57" t="s">
        <v>56</v>
      </c>
      <c r="G57">
        <v>2012</v>
      </c>
      <c r="H57" s="2">
        <v>0.14979515676228786</v>
      </c>
      <c r="I57" s="2">
        <v>0.12786839648869475</v>
      </c>
      <c r="J57" s="2">
        <f t="shared" si="1"/>
        <v>-14.637829918886501</v>
      </c>
      <c r="K57" t="s">
        <v>56</v>
      </c>
      <c r="L57">
        <v>2012</v>
      </c>
      <c r="M57" s="2">
        <v>9.303275374544076E-2</v>
      </c>
      <c r="N57" s="2">
        <v>8.6852990431476231E-3</v>
      </c>
      <c r="O57" s="2">
        <f t="shared" si="2"/>
        <v>-90.664256733803015</v>
      </c>
      <c r="P57" s="2"/>
      <c r="Q57" s="2"/>
      <c r="R57" t="s">
        <v>56</v>
      </c>
      <c r="S57">
        <v>2012</v>
      </c>
      <c r="T57" s="2">
        <v>1.5853563020009613E-2</v>
      </c>
      <c r="U57" s="2">
        <v>1.4755042191687112E-2</v>
      </c>
      <c r="V57" s="2">
        <f t="shared" si="12"/>
        <v>-6.9291731261672878</v>
      </c>
      <c r="W57" t="s">
        <v>56</v>
      </c>
      <c r="X57">
        <v>2012</v>
      </c>
      <c r="Y57" s="2">
        <v>1.5584079549796154E-2</v>
      </c>
      <c r="Z57" s="2">
        <v>1.7876950743812278E-2</v>
      </c>
      <c r="AA57" s="2">
        <f t="shared" si="13"/>
        <v>14.712907404570558</v>
      </c>
      <c r="AB57" t="s">
        <v>56</v>
      </c>
      <c r="AC57">
        <v>2012</v>
      </c>
      <c r="AD57" s="2">
        <v>1.6720379757274306E-2</v>
      </c>
      <c r="AE57" s="2">
        <v>4.5044412664198754E-3</v>
      </c>
      <c r="AF57" s="2">
        <f t="shared" si="15"/>
        <v>-73.060173681401039</v>
      </c>
      <c r="AG57" s="2"/>
      <c r="AH57" s="2"/>
      <c r="AM57" s="2"/>
      <c r="AR57" s="2"/>
      <c r="AW57" s="2"/>
      <c r="AX57" s="2"/>
      <c r="AY57" s="2"/>
    </row>
    <row r="58" spans="1:51" x14ac:dyDescent="0.45">
      <c r="A58" t="s">
        <v>49</v>
      </c>
      <c r="B58">
        <v>2015</v>
      </c>
      <c r="C58" s="2">
        <v>9.2094727828111914E-2</v>
      </c>
      <c r="D58" s="2">
        <v>2.3073645247516102E-2</v>
      </c>
      <c r="E58" s="2">
        <f t="shared" si="0"/>
        <v>-74.945747936210438</v>
      </c>
      <c r="F58" t="s">
        <v>49</v>
      </c>
      <c r="G58">
        <v>2015</v>
      </c>
      <c r="H58" s="2">
        <v>0.1224804017983768</v>
      </c>
      <c r="I58" s="2">
        <v>2.4076752188363328E-2</v>
      </c>
      <c r="J58" s="2">
        <f t="shared" si="1"/>
        <v>-80.342363484406519</v>
      </c>
      <c r="K58" t="s">
        <v>49</v>
      </c>
      <c r="L58">
        <v>2015</v>
      </c>
      <c r="M58" s="2">
        <v>0.29006950502533418</v>
      </c>
      <c r="N58" s="2">
        <v>0.11060571273754859</v>
      </c>
      <c r="O58" s="2">
        <f t="shared" si="2"/>
        <v>-61.869237951128817</v>
      </c>
      <c r="P58" s="2"/>
      <c r="Q58" s="2"/>
      <c r="R58" t="s">
        <v>49</v>
      </c>
      <c r="S58">
        <v>2015</v>
      </c>
      <c r="T58" s="2">
        <v>0.28774162634014278</v>
      </c>
      <c r="U58" s="2">
        <v>0.13808896384917382</v>
      </c>
      <c r="V58" s="2">
        <f t="shared" si="12"/>
        <v>-52.009389254672101</v>
      </c>
      <c r="W58" t="s">
        <v>49</v>
      </c>
      <c r="X58">
        <v>2015</v>
      </c>
      <c r="Y58" s="2">
        <v>0.321377427862368</v>
      </c>
      <c r="Z58" s="2">
        <v>0.13356338984804852</v>
      </c>
      <c r="AA58" s="2">
        <f t="shared" si="13"/>
        <v>-58.440332684083863</v>
      </c>
      <c r="AB58" t="s">
        <v>49</v>
      </c>
      <c r="AC58">
        <v>2015</v>
      </c>
      <c r="AD58" s="2">
        <v>0.18125810025546232</v>
      </c>
      <c r="AE58" s="2">
        <v>0.16026045794509519</v>
      </c>
      <c r="AF58" s="2">
        <f t="shared" si="15"/>
        <v>-11.58438838362169</v>
      </c>
      <c r="AG58" s="2"/>
      <c r="AH58" s="2"/>
      <c r="AM58" s="2"/>
      <c r="AR58" s="2"/>
      <c r="AW58" s="2"/>
      <c r="AX58" s="2"/>
      <c r="AY58" s="2"/>
    </row>
    <row r="59" spans="1:51" x14ac:dyDescent="0.45">
      <c r="A59" t="s">
        <v>51</v>
      </c>
      <c r="B59">
        <v>2015</v>
      </c>
      <c r="C59" s="2">
        <v>0.12802921316962296</v>
      </c>
      <c r="D59" s="2">
        <v>0.10211795228981886</v>
      </c>
      <c r="E59" s="2">
        <f t="shared" si="0"/>
        <v>-20.238553560018261</v>
      </c>
      <c r="F59" t="s">
        <v>51</v>
      </c>
      <c r="G59">
        <v>2015</v>
      </c>
      <c r="H59" s="2">
        <v>0.1375228202553577</v>
      </c>
      <c r="I59" s="2">
        <v>0.10419004981528451</v>
      </c>
      <c r="J59" s="2">
        <f t="shared" si="1"/>
        <v>-24.237992195171394</v>
      </c>
      <c r="K59" t="s">
        <v>51</v>
      </c>
      <c r="L59">
        <v>2015</v>
      </c>
      <c r="M59" s="2">
        <v>0.18988384734477948</v>
      </c>
      <c r="N59" s="2">
        <v>0.28293115680398434</v>
      </c>
      <c r="O59" s="2">
        <f t="shared" si="2"/>
        <v>49.002224654872961</v>
      </c>
      <c r="P59" s="2"/>
      <c r="Q59" s="2"/>
      <c r="R59" t="s">
        <v>51</v>
      </c>
      <c r="S59">
        <v>2015</v>
      </c>
      <c r="T59" s="2">
        <v>0.20800781768396395</v>
      </c>
      <c r="U59" s="2">
        <v>0.21352218962844688</v>
      </c>
      <c r="V59" s="2">
        <f t="shared" si="12"/>
        <v>2.6510407185085567</v>
      </c>
      <c r="W59" t="s">
        <v>51</v>
      </c>
      <c r="X59">
        <v>2015</v>
      </c>
      <c r="Y59" s="2">
        <v>0.20493320406669466</v>
      </c>
      <c r="Z59" s="2">
        <v>0.21060061388250864</v>
      </c>
      <c r="AA59" s="2">
        <f t="shared" si="13"/>
        <v>2.7654912446347879</v>
      </c>
      <c r="AB59" t="s">
        <v>51</v>
      </c>
      <c r="AC59">
        <v>2015</v>
      </c>
      <c r="AD59" s="2">
        <v>0.21774136600147539</v>
      </c>
      <c r="AE59" s="2">
        <v>0.22783544566751507</v>
      </c>
      <c r="AF59" s="2">
        <f t="shared" si="15"/>
        <v>4.6358116748341143</v>
      </c>
      <c r="AG59" s="2"/>
      <c r="AH59" s="2"/>
      <c r="AM59" s="2"/>
      <c r="AR59" s="2"/>
      <c r="AW59" s="2"/>
      <c r="AX59" s="2"/>
      <c r="AY59" s="2"/>
    </row>
    <row r="60" spans="1:51" x14ac:dyDescent="0.45">
      <c r="A60" t="s">
        <v>53</v>
      </c>
      <c r="B60">
        <v>2015</v>
      </c>
      <c r="C60" s="2">
        <v>0.14992764093112412</v>
      </c>
      <c r="D60" s="2">
        <v>0.19978607059381265</v>
      </c>
      <c r="E60" s="2">
        <f t="shared" si="0"/>
        <v>33.254995111670695</v>
      </c>
      <c r="F60" t="s">
        <v>53</v>
      </c>
      <c r="G60">
        <v>2015</v>
      </c>
      <c r="H60" s="2">
        <v>0.15440006468636788</v>
      </c>
      <c r="I60" s="2">
        <v>0.19872873951763254</v>
      </c>
      <c r="J60" s="2">
        <f t="shared" si="1"/>
        <v>28.710269598208573</v>
      </c>
      <c r="K60" t="s">
        <v>53</v>
      </c>
      <c r="L60">
        <v>2015</v>
      </c>
      <c r="M60" s="2">
        <v>0.17906726433860273</v>
      </c>
      <c r="N60" s="2">
        <v>0.10752235338601407</v>
      </c>
      <c r="O60" s="2">
        <f t="shared" si="2"/>
        <v>-39.954210065611221</v>
      </c>
      <c r="P60" s="2"/>
      <c r="Q60" s="2"/>
      <c r="R60" t="s">
        <v>53</v>
      </c>
      <c r="S60">
        <v>2015</v>
      </c>
      <c r="T60" s="2">
        <v>0.21010367782447267</v>
      </c>
      <c r="U60" s="2">
        <v>0.26018737191900193</v>
      </c>
      <c r="V60" s="2">
        <f t="shared" si="12"/>
        <v>23.837609418894026</v>
      </c>
      <c r="W60" t="s">
        <v>53</v>
      </c>
      <c r="X60">
        <v>2015</v>
      </c>
      <c r="Y60" s="2">
        <v>0.19534595181094508</v>
      </c>
      <c r="Z60" s="2">
        <v>0.26466854214797764</v>
      </c>
      <c r="AA60" s="2">
        <f t="shared" si="13"/>
        <v>35.48708826283876</v>
      </c>
      <c r="AB60" t="s">
        <v>53</v>
      </c>
      <c r="AC60">
        <v>2015</v>
      </c>
      <c r="AD60" s="2">
        <v>0.25682338218096556</v>
      </c>
      <c r="AE60" s="2">
        <v>0.23823341884037591</v>
      </c>
      <c r="AF60" s="2">
        <f t="shared" si="15"/>
        <v>-7.2384232240546549</v>
      </c>
      <c r="AG60" s="2"/>
      <c r="AH60" s="2"/>
      <c r="AM60" s="2"/>
      <c r="AR60" s="2"/>
      <c r="AW60" s="2"/>
      <c r="AX60" s="2"/>
      <c r="AY60" s="2"/>
    </row>
    <row r="61" spans="1:51" x14ac:dyDescent="0.45">
      <c r="A61" t="s">
        <v>54</v>
      </c>
      <c r="B61">
        <v>2015</v>
      </c>
      <c r="C61" s="2">
        <v>0.18805728987359094</v>
      </c>
      <c r="D61" s="2">
        <v>0.3024445768844724</v>
      </c>
      <c r="E61" s="2">
        <f t="shared" si="0"/>
        <v>60.825765960878599</v>
      </c>
      <c r="F61" t="s">
        <v>54</v>
      </c>
      <c r="G61">
        <v>2015</v>
      </c>
      <c r="H61" s="2">
        <v>0.18041120934401228</v>
      </c>
      <c r="I61" s="2">
        <v>0.30275024790934285</v>
      </c>
      <c r="J61" s="2">
        <f t="shared" si="1"/>
        <v>67.811218055775939</v>
      </c>
      <c r="K61" t="s">
        <v>54</v>
      </c>
      <c r="L61">
        <v>2015</v>
      </c>
      <c r="M61" s="2">
        <v>0.1382400276085945</v>
      </c>
      <c r="N61" s="2">
        <v>0.32911772177977539</v>
      </c>
      <c r="O61" s="2">
        <f t="shared" si="2"/>
        <v>138.07700813806397</v>
      </c>
      <c r="P61" s="2"/>
      <c r="Q61" s="2"/>
      <c r="R61" t="s">
        <v>54</v>
      </c>
      <c r="S61">
        <v>2015</v>
      </c>
      <c r="T61" s="2">
        <v>0.16386741562291385</v>
      </c>
      <c r="U61" s="2">
        <v>0.2169763298645995</v>
      </c>
      <c r="V61" s="2">
        <f t="shared" si="12"/>
        <v>32.40968562285628</v>
      </c>
      <c r="W61" t="s">
        <v>54</v>
      </c>
      <c r="X61">
        <v>2015</v>
      </c>
      <c r="Y61" s="2">
        <v>0.15275270440684161</v>
      </c>
      <c r="Z61" s="2">
        <v>0.212600179021946</v>
      </c>
      <c r="AA61" s="2">
        <f t="shared" si="13"/>
        <v>39.179322452914882</v>
      </c>
      <c r="AB61" t="s">
        <v>54</v>
      </c>
      <c r="AC61">
        <v>2015</v>
      </c>
      <c r="AD61" s="2">
        <v>0.19905413893968346</v>
      </c>
      <c r="AE61" s="2">
        <v>0.23841577656166546</v>
      </c>
      <c r="AF61" s="2">
        <f t="shared" si="15"/>
        <v>19.774337691068656</v>
      </c>
      <c r="AG61" s="2"/>
      <c r="AH61" s="2"/>
      <c r="AM61" s="2"/>
      <c r="AR61" s="2"/>
      <c r="AW61" s="2"/>
      <c r="AX61" s="2"/>
      <c r="AY61" s="2"/>
    </row>
    <row r="62" spans="1:51" x14ac:dyDescent="0.45">
      <c r="A62" t="s">
        <v>55</v>
      </c>
      <c r="B62">
        <v>2015</v>
      </c>
      <c r="C62" s="2">
        <v>0.28575004186035674</v>
      </c>
      <c r="D62" s="2">
        <v>0.29683899213478537</v>
      </c>
      <c r="E62" s="2">
        <f t="shared" si="0"/>
        <v>3.8806469466232643</v>
      </c>
      <c r="F62" t="s">
        <v>55</v>
      </c>
      <c r="G62">
        <v>2015</v>
      </c>
      <c r="H62" s="2">
        <v>0.25981554525568801</v>
      </c>
      <c r="I62" s="2">
        <v>0.2953834048112135</v>
      </c>
      <c r="J62" s="2">
        <f t="shared" si="1"/>
        <v>13.689657991989156</v>
      </c>
      <c r="K62" t="s">
        <v>55</v>
      </c>
      <c r="L62">
        <v>2015</v>
      </c>
      <c r="M62" s="2">
        <v>0.11677645937356214</v>
      </c>
      <c r="N62" s="2">
        <v>0.16982305529267763</v>
      </c>
      <c r="O62" s="2">
        <f t="shared" si="2"/>
        <v>45.425761496520501</v>
      </c>
      <c r="P62" s="2"/>
      <c r="Q62" s="2"/>
      <c r="R62" t="s">
        <v>55</v>
      </c>
      <c r="S62">
        <v>2015</v>
      </c>
      <c r="T62" s="2">
        <v>0.11485319772202307</v>
      </c>
      <c r="U62" s="2">
        <v>0.12383507313616068</v>
      </c>
      <c r="V62" s="2">
        <f t="shared" si="12"/>
        <v>7.8203093969366613</v>
      </c>
      <c r="W62" t="s">
        <v>55</v>
      </c>
      <c r="X62">
        <v>2015</v>
      </c>
      <c r="Y62" s="2">
        <v>0.11009640897310478</v>
      </c>
      <c r="Z62" s="2">
        <v>0.12792693143279169</v>
      </c>
      <c r="AA62" s="2">
        <f t="shared" si="13"/>
        <v>16.195371516651992</v>
      </c>
      <c r="AB62" t="s">
        <v>55</v>
      </c>
      <c r="AC62">
        <v>2015</v>
      </c>
      <c r="AD62" s="2">
        <v>0.12991214134464094</v>
      </c>
      <c r="AE62" s="2">
        <v>0.1037884200392179</v>
      </c>
      <c r="AF62" s="2">
        <f t="shared" si="15"/>
        <v>-20.108760455360379</v>
      </c>
      <c r="AG62" s="2"/>
      <c r="AH62" s="2"/>
      <c r="AM62" s="2"/>
      <c r="AR62" s="2"/>
      <c r="AW62" s="2"/>
      <c r="AX62" s="2"/>
      <c r="AY62" s="2"/>
    </row>
    <row r="63" spans="1:51" x14ac:dyDescent="0.45">
      <c r="A63" t="s">
        <v>56</v>
      </c>
      <c r="B63">
        <v>2015</v>
      </c>
      <c r="C63" s="2">
        <v>0.15614108633719342</v>
      </c>
      <c r="D63" s="2">
        <v>7.5738762849594521E-2</v>
      </c>
      <c r="E63" s="2">
        <f t="shared" si="0"/>
        <v>-51.493380361121993</v>
      </c>
      <c r="F63" t="s">
        <v>56</v>
      </c>
      <c r="G63">
        <v>2015</v>
      </c>
      <c r="H63" s="2">
        <v>0.14536995866019739</v>
      </c>
      <c r="I63" s="2">
        <v>7.4870805758163309E-2</v>
      </c>
      <c r="J63" s="2">
        <f t="shared" si="1"/>
        <v>-48.49636991837221</v>
      </c>
      <c r="K63" t="s">
        <v>56</v>
      </c>
      <c r="L63">
        <v>2015</v>
      </c>
      <c r="M63" s="2">
        <v>8.5962896309126985E-2</v>
      </c>
      <c r="N63" s="2">
        <v>0</v>
      </c>
      <c r="O63" s="2">
        <f t="shared" si="2"/>
        <v>-100</v>
      </c>
      <c r="P63" s="2"/>
      <c r="Q63" s="2"/>
      <c r="R63" t="s">
        <v>56</v>
      </c>
      <c r="S63">
        <v>2015</v>
      </c>
      <c r="T63" s="2">
        <v>1.5426264806483602E-2</v>
      </c>
      <c r="U63" s="2">
        <v>4.7390071602617233E-2</v>
      </c>
      <c r="V63" s="2">
        <f t="shared" si="12"/>
        <v>207.20379947516108</v>
      </c>
      <c r="W63" t="s">
        <v>56</v>
      </c>
      <c r="X63">
        <v>2015</v>
      </c>
      <c r="Y63" s="2">
        <v>1.5494302880045762E-2</v>
      </c>
      <c r="Z63" s="2">
        <v>5.0640343666727448E-2</v>
      </c>
      <c r="AA63" s="2">
        <f t="shared" si="13"/>
        <v>226.83202373657153</v>
      </c>
      <c r="AB63" t="s">
        <v>56</v>
      </c>
      <c r="AC63">
        <v>2015</v>
      </c>
      <c r="AD63" s="2">
        <v>1.5210871277772231E-2</v>
      </c>
      <c r="AE63" s="2">
        <v>3.1466480946130498E-2</v>
      </c>
      <c r="AF63" s="2">
        <f t="shared" si="15"/>
        <v>106.86836652225649</v>
      </c>
      <c r="AG63" s="2"/>
      <c r="AH63" s="2"/>
      <c r="AM63" s="2"/>
      <c r="AR63" s="2"/>
      <c r="AW63" s="2"/>
      <c r="AX63" s="2"/>
      <c r="AY63" s="2"/>
    </row>
    <row r="66" spans="1:1" x14ac:dyDescent="0.45">
      <c r="A66" t="s">
        <v>201</v>
      </c>
    </row>
  </sheetData>
  <mergeCells count="16">
    <mergeCell ref="A2:E2"/>
    <mergeCell ref="F2:J2"/>
    <mergeCell ref="K2:O2"/>
    <mergeCell ref="A1:O1"/>
    <mergeCell ref="AZ1:BN1"/>
    <mergeCell ref="AZ2:BD2"/>
    <mergeCell ref="BE2:BI2"/>
    <mergeCell ref="BJ2:BN2"/>
    <mergeCell ref="R1:AF1"/>
    <mergeCell ref="R2:V2"/>
    <mergeCell ref="W2:AA2"/>
    <mergeCell ref="AB2:AF2"/>
    <mergeCell ref="AI1:AW1"/>
    <mergeCell ref="AI2:AM2"/>
    <mergeCell ref="AN2:AR2"/>
    <mergeCell ref="AS2:AW2"/>
  </mergeCells>
  <pageMargins left="0.7" right="0.7" top="0.75" bottom="0.75" header="0.3" footer="0.3"/>
  <pageSetup orientation="portrait" horizontalDpi="4294967295" verticalDpi="4294967295" r:id="rId1"/>
  <ignoredErrors>
    <ignoredError sqref="AK4 AK5:AK23 AL4:AL23 AP4:AP23 AQ4:AQ23 AU4:AU23 AV4:AV23 BB4:BC23 BG4:BH23 BL4:BM23" formulaRange="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B66"/>
  <sheetViews>
    <sheetView topLeftCell="N1" zoomScale="85" zoomScaleNormal="85" workbookViewId="0">
      <selection activeCell="T11" sqref="T11"/>
    </sheetView>
  </sheetViews>
  <sheetFormatPr defaultRowHeight="14.25" x14ac:dyDescent="0.45"/>
  <cols>
    <col min="1" max="1" width="13.59765625" bestFit="1" customWidth="1"/>
    <col min="5" max="5" width="12.59765625" bestFit="1" customWidth="1"/>
    <col min="6" max="8" width="12.59765625" customWidth="1"/>
    <col min="15" max="15" width="14" bestFit="1" customWidth="1"/>
    <col min="17" max="18" width="13.86328125" bestFit="1" customWidth="1"/>
    <col min="24" max="24" width="12.1328125" bestFit="1" customWidth="1"/>
    <col min="26" max="26" width="12.59765625" bestFit="1" customWidth="1"/>
    <col min="28" max="28" width="14.1328125" customWidth="1"/>
    <col min="34" max="34" width="17" customWidth="1"/>
  </cols>
  <sheetData>
    <row r="1" spans="1:54" x14ac:dyDescent="0.45">
      <c r="A1" s="99" t="s">
        <v>11</v>
      </c>
      <c r="B1" s="99"/>
      <c r="C1" s="99"/>
      <c r="D1" s="99"/>
      <c r="E1" s="99"/>
      <c r="F1" s="35"/>
      <c r="H1" s="99" t="s">
        <v>205</v>
      </c>
      <c r="I1" s="99"/>
      <c r="J1" s="99"/>
      <c r="K1" s="99"/>
      <c r="L1" s="99"/>
      <c r="M1" s="35"/>
      <c r="O1" s="99" t="s">
        <v>206</v>
      </c>
      <c r="P1" s="99"/>
      <c r="Q1" s="99"/>
      <c r="R1" s="99"/>
      <c r="S1" s="99"/>
      <c r="V1" s="99" t="s">
        <v>209</v>
      </c>
      <c r="W1" s="99"/>
      <c r="X1" s="99"/>
      <c r="Y1" s="99"/>
      <c r="Z1" s="99"/>
      <c r="AA1" s="36"/>
      <c r="AB1" s="36"/>
      <c r="AC1" s="36"/>
      <c r="AD1" s="99" t="s">
        <v>211</v>
      </c>
      <c r="AE1" s="99"/>
      <c r="AF1" s="99"/>
      <c r="AG1" s="99"/>
      <c r="AH1" s="99"/>
      <c r="AI1" s="36"/>
      <c r="AJ1" s="36"/>
      <c r="AK1" s="36"/>
    </row>
    <row r="2" spans="1:54" x14ac:dyDescent="0.45">
      <c r="A2" s="99" t="s">
        <v>202</v>
      </c>
      <c r="B2" s="99"/>
      <c r="C2" s="99"/>
      <c r="D2" s="99"/>
      <c r="E2" s="99"/>
      <c r="F2" s="35"/>
      <c r="G2" s="35"/>
      <c r="H2" s="99" t="s">
        <v>202</v>
      </c>
      <c r="I2" s="99"/>
      <c r="J2" s="99"/>
      <c r="K2" s="99"/>
      <c r="L2" s="99"/>
      <c r="M2" s="35"/>
      <c r="N2" s="35"/>
      <c r="O2" s="99" t="s">
        <v>202</v>
      </c>
      <c r="P2" s="99"/>
      <c r="Q2" s="99"/>
      <c r="R2" s="99"/>
      <c r="S2" s="99"/>
      <c r="T2" s="35"/>
      <c r="U2" s="35"/>
      <c r="V2" s="99" t="s">
        <v>202</v>
      </c>
      <c r="W2" s="99"/>
      <c r="X2" s="99"/>
      <c r="Y2" s="99"/>
      <c r="Z2" s="99"/>
      <c r="AA2" s="99" t="s">
        <v>212</v>
      </c>
      <c r="AB2" s="99"/>
      <c r="AD2" s="99" t="s">
        <v>202</v>
      </c>
      <c r="AE2" s="99"/>
      <c r="AF2" s="99"/>
      <c r="AG2" s="99"/>
      <c r="AH2" s="99"/>
    </row>
    <row r="3" spans="1:54" x14ac:dyDescent="0.45">
      <c r="A3" t="s">
        <v>48</v>
      </c>
      <c r="B3" t="s">
        <v>2</v>
      </c>
      <c r="C3" t="s">
        <v>3</v>
      </c>
      <c r="D3" t="s">
        <v>4</v>
      </c>
      <c r="E3" s="1" t="s">
        <v>5</v>
      </c>
      <c r="F3" s="1"/>
      <c r="G3" s="1"/>
      <c r="H3" t="s">
        <v>48</v>
      </c>
      <c r="I3" t="s">
        <v>2</v>
      </c>
      <c r="J3" t="s">
        <v>3</v>
      </c>
      <c r="K3" t="s">
        <v>4</v>
      </c>
      <c r="L3" s="1" t="s">
        <v>5</v>
      </c>
      <c r="M3" s="1"/>
      <c r="N3" s="1"/>
      <c r="O3" t="s">
        <v>48</v>
      </c>
      <c r="P3" t="s">
        <v>2</v>
      </c>
      <c r="Q3" t="s">
        <v>3</v>
      </c>
      <c r="R3" t="s">
        <v>4</v>
      </c>
      <c r="S3" s="1" t="s">
        <v>5</v>
      </c>
      <c r="T3" s="1"/>
      <c r="U3" s="1"/>
      <c r="V3" t="s">
        <v>48</v>
      </c>
      <c r="W3" t="s">
        <v>2</v>
      </c>
      <c r="X3" t="s">
        <v>3</v>
      </c>
      <c r="Y3" t="s">
        <v>4</v>
      </c>
      <c r="Z3" s="1" t="s">
        <v>5</v>
      </c>
      <c r="AA3" t="s">
        <v>3</v>
      </c>
      <c r="AB3" t="s">
        <v>4</v>
      </c>
      <c r="AD3" t="s">
        <v>48</v>
      </c>
      <c r="AE3" t="s">
        <v>2</v>
      </c>
      <c r="AF3" t="s">
        <v>3</v>
      </c>
      <c r="AG3" t="s">
        <v>4</v>
      </c>
      <c r="AH3" s="1" t="s">
        <v>5</v>
      </c>
      <c r="AK3" s="1"/>
    </row>
    <row r="4" spans="1:54" x14ac:dyDescent="0.45">
      <c r="A4" t="s">
        <v>49</v>
      </c>
      <c r="B4">
        <v>1988</v>
      </c>
      <c r="C4">
        <v>-0.51359528671495436</v>
      </c>
      <c r="D4">
        <v>3.242600541792414</v>
      </c>
      <c r="E4" s="2">
        <f t="shared" ref="E4:E63" si="0">100*(D4-C4)/C4</f>
        <v>-731.35325141565386</v>
      </c>
      <c r="F4" s="2"/>
      <c r="G4" s="2"/>
      <c r="H4" t="s">
        <v>49</v>
      </c>
      <c r="I4">
        <v>1988</v>
      </c>
      <c r="J4">
        <v>2.3643931513315981</v>
      </c>
      <c r="K4">
        <v>0.71313627712552952</v>
      </c>
      <c r="L4" s="2">
        <f t="shared" ref="L4:L63" si="1">100*(K4-J4)/J4</f>
        <v>-69.838506902970025</v>
      </c>
      <c r="M4" s="2"/>
      <c r="N4" s="2"/>
      <c r="O4" t="s">
        <v>207</v>
      </c>
      <c r="P4">
        <v>1988</v>
      </c>
      <c r="Q4" s="2">
        <f>SUM(C4:C5)</f>
        <v>12.810186365848558</v>
      </c>
      <c r="R4" s="2">
        <f>SUM(D4:D5)</f>
        <v>17.208482629991014</v>
      </c>
      <c r="S4" s="2">
        <f t="shared" ref="S4:S23" si="2">100*(R4-Q4)/Q4</f>
        <v>34.334365937627084</v>
      </c>
      <c r="T4" s="2"/>
      <c r="U4" s="2"/>
      <c r="V4" t="s">
        <v>207</v>
      </c>
      <c r="W4">
        <v>1988</v>
      </c>
      <c r="X4" s="2">
        <f>SUM(J4:J5)</f>
        <v>5.003511430118146</v>
      </c>
      <c r="Y4" s="2">
        <f>SUM(K4:K5)</f>
        <v>2.0371536556409215</v>
      </c>
      <c r="Z4" s="2">
        <f t="shared" ref="Z4:Z23" si="3">100*(Y4-X4)/X4</f>
        <v>-59.285520097376512</v>
      </c>
      <c r="AA4">
        <f>X4/(X4+X5)</f>
        <v>0.3686794519548916</v>
      </c>
      <c r="AB4">
        <f>Y4/(Y4+Y5)</f>
        <v>0.33665408661988067</v>
      </c>
      <c r="AD4" t="s">
        <v>207</v>
      </c>
      <c r="AE4">
        <v>1988</v>
      </c>
      <c r="AF4" s="2">
        <f>Q4/X4</f>
        <v>2.5602392529252356</v>
      </c>
      <c r="AG4" s="2">
        <f>R4/Y4</f>
        <v>8.4473169622430593</v>
      </c>
      <c r="AH4" s="2">
        <f t="shared" ref="AH4:AH23" si="4">100*(AG4-AF4)/AF4</f>
        <v>229.94248301565821</v>
      </c>
      <c r="AK4" s="2"/>
    </row>
    <row r="5" spans="1:54" x14ac:dyDescent="0.45">
      <c r="A5" t="s">
        <v>51</v>
      </c>
      <c r="B5">
        <v>1988</v>
      </c>
      <c r="C5">
        <v>13.323781652563513</v>
      </c>
      <c r="D5">
        <v>13.965882088198601</v>
      </c>
      <c r="E5" s="2">
        <f t="shared" si="0"/>
        <v>4.8192056307943707</v>
      </c>
      <c r="F5" s="2"/>
      <c r="G5" s="2"/>
      <c r="H5" t="s">
        <v>51</v>
      </c>
      <c r="I5">
        <v>1988</v>
      </c>
      <c r="J5">
        <v>2.6391182787865479</v>
      </c>
      <c r="K5">
        <v>1.3240173785153919</v>
      </c>
      <c r="L5" s="2">
        <f t="shared" si="1"/>
        <v>-49.831070886138242</v>
      </c>
      <c r="M5" s="2"/>
      <c r="N5" s="2"/>
      <c r="O5" t="s">
        <v>208</v>
      </c>
      <c r="P5">
        <v>1988</v>
      </c>
      <c r="Q5" s="2">
        <f>SUM(C6:C9)</f>
        <v>113.51306163415144</v>
      </c>
      <c r="R5" s="2">
        <f>SUM(D6:D9)</f>
        <v>175.03593400644658</v>
      </c>
      <c r="S5" s="2">
        <f t="shared" si="2"/>
        <v>54.198936656806218</v>
      </c>
      <c r="T5" s="2"/>
      <c r="U5" s="2"/>
      <c r="V5" t="s">
        <v>208</v>
      </c>
      <c r="W5">
        <v>1988</v>
      </c>
      <c r="X5" s="2">
        <f>SUM(J6:J9)</f>
        <v>8.5679295698818532</v>
      </c>
      <c r="Y5" s="2">
        <f>SUM(K6:K9)</f>
        <v>4.0140239079366484</v>
      </c>
      <c r="Z5" s="2">
        <f t="shared" si="3"/>
        <v>-53.150596358228476</v>
      </c>
      <c r="AD5" t="s">
        <v>208</v>
      </c>
      <c r="AE5">
        <v>1988</v>
      </c>
      <c r="AF5" s="2">
        <f t="shared" ref="AF5:AF23" si="5">Q5/X5</f>
        <v>13.248598825225487</v>
      </c>
      <c r="AG5" s="2">
        <f t="shared" ref="AG5:AG23" si="6">R5/Y5</f>
        <v>43.606101513336853</v>
      </c>
      <c r="AH5" s="2">
        <f t="shared" si="4"/>
        <v>229.1374589010147</v>
      </c>
      <c r="AK5" s="2"/>
    </row>
    <row r="6" spans="1:54" x14ac:dyDescent="0.45">
      <c r="A6" t="s">
        <v>53</v>
      </c>
      <c r="B6">
        <v>1988</v>
      </c>
      <c r="C6">
        <v>23.986515125085102</v>
      </c>
      <c r="D6">
        <v>25.747505800391711</v>
      </c>
      <c r="E6" s="2">
        <f t="shared" si="0"/>
        <v>7.3415861625725034</v>
      </c>
      <c r="F6" s="2"/>
      <c r="G6" s="2"/>
      <c r="H6" t="s">
        <v>53</v>
      </c>
      <c r="I6">
        <v>1988</v>
      </c>
      <c r="J6">
        <v>3.6303160313760241</v>
      </c>
      <c r="K6">
        <v>1.7044042084734117</v>
      </c>
      <c r="L6" s="2">
        <f t="shared" si="1"/>
        <v>-53.050803463317777</v>
      </c>
      <c r="M6" s="2"/>
      <c r="N6" s="2"/>
      <c r="O6" t="s">
        <v>207</v>
      </c>
      <c r="P6">
        <v>1991</v>
      </c>
      <c r="Q6" s="2">
        <f>SUM(C10:C11)</f>
        <v>17.227239536322216</v>
      </c>
      <c r="R6" s="2">
        <f>SUM(D10:D11)</f>
        <v>39.821601591538084</v>
      </c>
      <c r="S6" s="2">
        <f t="shared" si="2"/>
        <v>131.1548609257886</v>
      </c>
      <c r="T6" s="2"/>
      <c r="U6" s="2"/>
      <c r="V6" t="s">
        <v>207</v>
      </c>
      <c r="W6">
        <v>1991</v>
      </c>
      <c r="X6" s="2">
        <f>SUM(J10:J11)</f>
        <v>5.8110168279173058</v>
      </c>
      <c r="Y6" s="2">
        <f>SUM(K10:K11)</f>
        <v>2.4313995806796962</v>
      </c>
      <c r="Z6" s="2">
        <f t="shared" si="3"/>
        <v>-58.158792984409224</v>
      </c>
      <c r="AA6">
        <f>X6/(X6+X7)</f>
        <v>0.38664456155939836</v>
      </c>
      <c r="AB6">
        <f>Y6/(Y6+Y7)</f>
        <v>0.30220074968707517</v>
      </c>
      <c r="AD6" t="s">
        <v>207</v>
      </c>
      <c r="AE6">
        <v>1991</v>
      </c>
      <c r="AF6" s="2">
        <f t="shared" si="5"/>
        <v>2.9645826275289817</v>
      </c>
      <c r="AG6" s="2">
        <f t="shared" si="6"/>
        <v>16.378057275310535</v>
      </c>
      <c r="AH6" s="2">
        <f t="shared" si="4"/>
        <v>452.45743947983198</v>
      </c>
      <c r="AK6" s="2"/>
    </row>
    <row r="7" spans="1:54" x14ac:dyDescent="0.45">
      <c r="A7" t="s">
        <v>54</v>
      </c>
      <c r="B7">
        <v>1988</v>
      </c>
      <c r="C7">
        <v>22.826169092532165</v>
      </c>
      <c r="D7">
        <v>39.51309872704131</v>
      </c>
      <c r="E7" s="2">
        <f t="shared" si="0"/>
        <v>73.104381058705371</v>
      </c>
      <c r="F7" s="2"/>
      <c r="G7" s="2"/>
      <c r="H7" t="s">
        <v>54</v>
      </c>
      <c r="I7">
        <v>1988</v>
      </c>
      <c r="J7">
        <v>2.5826805112803579</v>
      </c>
      <c r="K7">
        <v>1.2047472898901757</v>
      </c>
      <c r="L7" s="2">
        <f t="shared" si="1"/>
        <v>-53.352833049685842</v>
      </c>
      <c r="M7" s="2"/>
      <c r="N7" s="2"/>
      <c r="O7" t="s">
        <v>208</v>
      </c>
      <c r="P7">
        <v>1991</v>
      </c>
      <c r="Q7" s="2">
        <f>SUM(C12:C15)</f>
        <v>124.63677346367778</v>
      </c>
      <c r="R7" s="2">
        <f>SUM(D12:D15)</f>
        <v>193.20443707935578</v>
      </c>
      <c r="S7" s="2">
        <f t="shared" si="2"/>
        <v>55.013991224395987</v>
      </c>
      <c r="T7" s="2"/>
      <c r="U7" s="2"/>
      <c r="V7" t="s">
        <v>208</v>
      </c>
      <c r="W7">
        <v>1991</v>
      </c>
      <c r="X7" s="2">
        <f>SUM(J12:J15)</f>
        <v>9.2183341720826952</v>
      </c>
      <c r="Y7" s="2">
        <f>SUM(K12:K15)</f>
        <v>5.6142441948482533</v>
      </c>
      <c r="Z7" s="2">
        <f t="shared" si="3"/>
        <v>-39.096976850212961</v>
      </c>
      <c r="AD7" t="s">
        <v>208</v>
      </c>
      <c r="AE7">
        <v>1991</v>
      </c>
      <c r="AF7" s="2">
        <f t="shared" si="5"/>
        <v>13.52053105659096</v>
      </c>
      <c r="AG7" s="2">
        <f t="shared" si="6"/>
        <v>34.413258556983358</v>
      </c>
      <c r="AH7" s="2">
        <f t="shared" si="4"/>
        <v>154.52593846310242</v>
      </c>
      <c r="AK7" s="2"/>
    </row>
    <row r="8" spans="1:54" x14ac:dyDescent="0.45">
      <c r="A8" t="s">
        <v>55</v>
      </c>
      <c r="B8">
        <v>1988</v>
      </c>
      <c r="C8">
        <v>44.418694303017539</v>
      </c>
      <c r="D8">
        <v>51.585629137749187</v>
      </c>
      <c r="E8" s="2">
        <f t="shared" si="0"/>
        <v>16.134951617082471</v>
      </c>
      <c r="F8" s="2"/>
      <c r="G8" s="2"/>
      <c r="H8" t="s">
        <v>55</v>
      </c>
      <c r="I8">
        <v>1988</v>
      </c>
      <c r="J8">
        <v>2.0397273275232974</v>
      </c>
      <c r="K8">
        <v>0.78030592058331483</v>
      </c>
      <c r="L8" s="2">
        <f t="shared" si="1"/>
        <v>-61.74459644413416</v>
      </c>
      <c r="M8" s="2"/>
      <c r="N8" s="2"/>
      <c r="O8" t="s">
        <v>207</v>
      </c>
      <c r="P8">
        <v>1994</v>
      </c>
      <c r="Q8" s="2">
        <f>SUM(C16:C17)</f>
        <v>23.060864833506496</v>
      </c>
      <c r="R8" s="2">
        <f>SUM(D16:D17)</f>
        <v>23.130019241197722</v>
      </c>
      <c r="S8" s="2">
        <f t="shared" si="2"/>
        <v>0.29987777210656597</v>
      </c>
      <c r="T8" s="2"/>
      <c r="U8" s="2"/>
      <c r="V8" t="s">
        <v>207</v>
      </c>
      <c r="W8">
        <v>1994</v>
      </c>
      <c r="X8" s="2">
        <f>SUM(J16:J17)</f>
        <v>6.1828044296933271</v>
      </c>
      <c r="Y8" s="2">
        <f>SUM(K16:K17)</f>
        <v>2.4326314642314797</v>
      </c>
      <c r="Z8" s="2">
        <f t="shared" si="3"/>
        <v>-60.654885790198925</v>
      </c>
      <c r="AA8">
        <f>X8/(X8+X9)</f>
        <v>0.38777947549290581</v>
      </c>
      <c r="AB8">
        <f>Y8/(Y8+Y9)</f>
        <v>0.33403754328627894</v>
      </c>
      <c r="AD8" t="s">
        <v>207</v>
      </c>
      <c r="AE8">
        <v>1994</v>
      </c>
      <c r="AF8" s="2">
        <f t="shared" si="5"/>
        <v>3.7298389583139921</v>
      </c>
      <c r="AG8" s="2">
        <f t="shared" si="6"/>
        <v>9.5082299071162382</v>
      </c>
      <c r="AH8" s="2">
        <f t="shared" si="4"/>
        <v>154.92333619181954</v>
      </c>
      <c r="AK8" s="2"/>
    </row>
    <row r="9" spans="1:54" x14ac:dyDescent="0.45">
      <c r="A9" t="s">
        <v>56</v>
      </c>
      <c r="B9">
        <v>1988</v>
      </c>
      <c r="C9">
        <v>22.281683113516632</v>
      </c>
      <c r="D9">
        <v>58.189700341264377</v>
      </c>
      <c r="E9" s="2">
        <f t="shared" si="0"/>
        <v>161.15486897830013</v>
      </c>
      <c r="F9" s="2"/>
      <c r="G9" s="2"/>
      <c r="H9" t="s">
        <v>56</v>
      </c>
      <c r="I9">
        <v>1988</v>
      </c>
      <c r="J9">
        <v>0.31520569970217405</v>
      </c>
      <c r="K9">
        <v>0.32456648898974627</v>
      </c>
      <c r="L9" s="2">
        <f t="shared" si="1"/>
        <v>2.9697398544559568</v>
      </c>
      <c r="M9" s="2"/>
      <c r="N9" s="2"/>
      <c r="O9" t="s">
        <v>208</v>
      </c>
      <c r="P9">
        <v>1994</v>
      </c>
      <c r="Q9" s="2">
        <f>SUM(C18:C21)</f>
        <v>143.14272416649351</v>
      </c>
      <c r="R9" s="2">
        <f>SUM(D18:D21)</f>
        <v>141.58109760164064</v>
      </c>
      <c r="S9" s="2">
        <f t="shared" si="2"/>
        <v>-1.0909576955071072</v>
      </c>
      <c r="T9" s="2"/>
      <c r="U9" s="2"/>
      <c r="V9" t="s">
        <v>208</v>
      </c>
      <c r="W9">
        <v>1994</v>
      </c>
      <c r="X9" s="2">
        <f>SUM(J18:J21)</f>
        <v>9.7613205703066743</v>
      </c>
      <c r="Y9" s="2">
        <f>SUM(K18:K21)</f>
        <v>4.8498776821929708</v>
      </c>
      <c r="Z9" s="2">
        <f t="shared" si="3"/>
        <v>-50.315352853526861</v>
      </c>
      <c r="AD9" t="s">
        <v>208</v>
      </c>
      <c r="AE9">
        <v>1994</v>
      </c>
      <c r="AF9" s="2">
        <f t="shared" si="5"/>
        <v>14.664278581519463</v>
      </c>
      <c r="AG9" s="2">
        <f t="shared" si="6"/>
        <v>29.192715132069448</v>
      </c>
      <c r="AH9" s="2">
        <f t="shared" si="4"/>
        <v>99.073653502868723</v>
      </c>
      <c r="AK9" s="2"/>
    </row>
    <row r="10" spans="1:54" x14ac:dyDescent="0.45">
      <c r="A10" t="s">
        <v>49</v>
      </c>
      <c r="B10">
        <v>1991</v>
      </c>
      <c r="C10">
        <v>1.4145890058769957</v>
      </c>
      <c r="D10">
        <v>2.4329787500229236</v>
      </c>
      <c r="E10" s="2">
        <f t="shared" si="0"/>
        <v>71.991917080859963</v>
      </c>
      <c r="F10" s="2"/>
      <c r="G10" s="2"/>
      <c r="H10" t="s">
        <v>49</v>
      </c>
      <c r="I10">
        <v>1991</v>
      </c>
      <c r="J10">
        <v>2.8332969703854629</v>
      </c>
      <c r="K10">
        <v>1.018273398987172</v>
      </c>
      <c r="L10" s="2">
        <f t="shared" si="1"/>
        <v>-64.060477612107192</v>
      </c>
      <c r="M10" s="2"/>
      <c r="N10" s="2"/>
      <c r="O10" t="s">
        <v>207</v>
      </c>
      <c r="P10">
        <v>1997</v>
      </c>
      <c r="Q10" s="2">
        <f>SUM(C22:C23)</f>
        <v>29.382277031839926</v>
      </c>
      <c r="R10" s="2">
        <f>SUM(D22:D23)</f>
        <v>36.414860991060046</v>
      </c>
      <c r="S10" s="2">
        <f t="shared" si="2"/>
        <v>23.934782017061856</v>
      </c>
      <c r="T10" s="2"/>
      <c r="U10" s="2"/>
      <c r="V10" t="s">
        <v>207</v>
      </c>
      <c r="W10">
        <v>1997</v>
      </c>
      <c r="X10" s="2">
        <f>SUM(J22:J23)</f>
        <v>6.7756603238753232</v>
      </c>
      <c r="Y10" s="2">
        <f>SUM(K22:K23)</f>
        <v>2.0502810812287935</v>
      </c>
      <c r="Z10" s="2">
        <f t="shared" si="3"/>
        <v>-69.740497852227932</v>
      </c>
      <c r="AA10">
        <f>X10/(X10+X11)</f>
        <v>0.40003716729230648</v>
      </c>
      <c r="AB10">
        <f>Y10/(Y10+Y11)</f>
        <v>0.29253380141399599</v>
      </c>
      <c r="AD10" t="s">
        <v>207</v>
      </c>
      <c r="AE10">
        <v>1997</v>
      </c>
      <c r="AF10" s="2">
        <f t="shared" si="5"/>
        <v>4.3364448079408442</v>
      </c>
      <c r="AG10" s="2">
        <f t="shared" si="6"/>
        <v>17.760911576687597</v>
      </c>
      <c r="AH10" s="2">
        <f t="shared" si="4"/>
        <v>309.57310339022501</v>
      </c>
      <c r="AI10" s="33"/>
      <c r="AJ10" s="33"/>
      <c r="AK10" s="2"/>
      <c r="AR10" s="2"/>
      <c r="AW10" s="2"/>
      <c r="BB10" s="2"/>
    </row>
    <row r="11" spans="1:54" x14ac:dyDescent="0.45">
      <c r="A11" t="s">
        <v>51</v>
      </c>
      <c r="B11">
        <v>1991</v>
      </c>
      <c r="C11">
        <v>15.812650530445222</v>
      </c>
      <c r="D11">
        <v>37.388622841515158</v>
      </c>
      <c r="E11" s="2">
        <f t="shared" si="0"/>
        <v>136.44753780859307</v>
      </c>
      <c r="F11" s="2"/>
      <c r="G11" s="2"/>
      <c r="H11" t="s">
        <v>51</v>
      </c>
      <c r="I11">
        <v>1991</v>
      </c>
      <c r="J11">
        <v>2.9777198575318429</v>
      </c>
      <c r="K11">
        <v>1.413126181692524</v>
      </c>
      <c r="L11" s="2">
        <f t="shared" si="1"/>
        <v>-52.543346946551623</v>
      </c>
      <c r="M11" s="2"/>
      <c r="N11" s="2"/>
      <c r="O11" t="s">
        <v>208</v>
      </c>
      <c r="P11">
        <v>1997</v>
      </c>
      <c r="Q11" s="2">
        <f>SUM(C24:C27)</f>
        <v>157.35893596816007</v>
      </c>
      <c r="R11" s="2">
        <f>SUM(D24:D27)</f>
        <v>266.29321554211651</v>
      </c>
      <c r="S11" s="2">
        <f t="shared" si="2"/>
        <v>69.226624407271132</v>
      </c>
      <c r="T11" s="2"/>
      <c r="U11" s="2"/>
      <c r="V11" t="s">
        <v>208</v>
      </c>
      <c r="W11">
        <v>1997</v>
      </c>
      <c r="X11" s="2">
        <f>SUM(J24:J27)</f>
        <v>10.161916676124678</v>
      </c>
      <c r="Y11" s="2">
        <f>SUM(K24:K27)</f>
        <v>4.9584169609069271</v>
      </c>
      <c r="Z11" s="2">
        <f t="shared" si="3"/>
        <v>-51.205888426966943</v>
      </c>
      <c r="AD11" t="s">
        <v>208</v>
      </c>
      <c r="AE11">
        <v>1997</v>
      </c>
      <c r="AF11" s="2">
        <f t="shared" si="5"/>
        <v>15.48516298484058</v>
      </c>
      <c r="AG11" s="2">
        <f t="shared" si="6"/>
        <v>53.705288934275053</v>
      </c>
      <c r="AH11" s="2">
        <f t="shared" si="4"/>
        <v>246.81771826909807</v>
      </c>
      <c r="AI11" s="33"/>
      <c r="AJ11" s="33"/>
      <c r="AK11" s="2"/>
      <c r="AR11" s="2"/>
      <c r="AW11" s="2"/>
      <c r="BB11" s="2"/>
    </row>
    <row r="12" spans="1:54" x14ac:dyDescent="0.45">
      <c r="A12" t="s">
        <v>53</v>
      </c>
      <c r="B12">
        <v>1991</v>
      </c>
      <c r="C12">
        <v>25.082210100176223</v>
      </c>
      <c r="D12">
        <v>34.606201444987619</v>
      </c>
      <c r="E12" s="2">
        <f t="shared" si="0"/>
        <v>37.971101058373172</v>
      </c>
      <c r="F12" s="2"/>
      <c r="G12" s="2"/>
      <c r="H12" t="s">
        <v>53</v>
      </c>
      <c r="I12">
        <v>1991</v>
      </c>
      <c r="J12">
        <v>3.837531015097372</v>
      </c>
      <c r="K12">
        <v>1.9874035544506692</v>
      </c>
      <c r="L12" s="2">
        <f t="shared" si="1"/>
        <v>-48.211400855603472</v>
      </c>
      <c r="M12" s="2"/>
      <c r="N12" s="2"/>
      <c r="O12" t="s">
        <v>207</v>
      </c>
      <c r="P12">
        <v>2000</v>
      </c>
      <c r="Q12" s="2">
        <f>SUM(C28:C29)</f>
        <v>32.702103731003156</v>
      </c>
      <c r="R12" s="2">
        <f>SUM(D28:D29)</f>
        <v>43.577201811130614</v>
      </c>
      <c r="S12" s="2">
        <f t="shared" si="2"/>
        <v>33.255041233990539</v>
      </c>
      <c r="T12" s="2"/>
      <c r="U12" s="2"/>
      <c r="V12" t="s">
        <v>207</v>
      </c>
      <c r="W12">
        <v>2000</v>
      </c>
      <c r="X12" s="2">
        <f>SUM(J28:J29)</f>
        <v>7.1423476527796605</v>
      </c>
      <c r="Y12" s="2">
        <f>SUM(K28:K29)</f>
        <v>2.572607344836181</v>
      </c>
      <c r="Z12" s="2">
        <f t="shared" si="3"/>
        <v>-63.980927981922406</v>
      </c>
      <c r="AA12">
        <f>X12/(X12+X13)</f>
        <v>0.40581500002526477</v>
      </c>
      <c r="AB12">
        <f>Y12/(Y12+Y13)</f>
        <v>0.34727412304791427</v>
      </c>
      <c r="AD12" t="s">
        <v>207</v>
      </c>
      <c r="AE12">
        <v>2000</v>
      </c>
      <c r="AF12" s="2">
        <f t="shared" si="5"/>
        <v>4.5786211090237456</v>
      </c>
      <c r="AG12" s="2">
        <f t="shared" si="6"/>
        <v>16.938924588938981</v>
      </c>
      <c r="AH12" s="2">
        <f t="shared" si="4"/>
        <v>269.95689718799861</v>
      </c>
      <c r="AI12" s="33"/>
      <c r="AJ12" s="33"/>
      <c r="AK12" s="2"/>
      <c r="AR12" s="2"/>
      <c r="AW12" s="2"/>
      <c r="BB12" s="2"/>
    </row>
    <row r="13" spans="1:54" x14ac:dyDescent="0.45">
      <c r="A13" t="s">
        <v>54</v>
      </c>
      <c r="B13">
        <v>1991</v>
      </c>
      <c r="C13">
        <v>25.4408533576743</v>
      </c>
      <c r="D13">
        <v>35.349376982560401</v>
      </c>
      <c r="E13" s="2">
        <f t="shared" si="0"/>
        <v>38.94729270902058</v>
      </c>
      <c r="F13" s="2"/>
      <c r="G13" s="2"/>
      <c r="H13" t="s">
        <v>54</v>
      </c>
      <c r="I13">
        <v>1991</v>
      </c>
      <c r="J13">
        <v>2.9185431147816754</v>
      </c>
      <c r="K13">
        <v>1.9472060724358113</v>
      </c>
      <c r="L13" s="2">
        <f t="shared" si="1"/>
        <v>-33.281572488214756</v>
      </c>
      <c r="M13" s="2"/>
      <c r="N13" s="2"/>
      <c r="O13" t="s">
        <v>208</v>
      </c>
      <c r="P13">
        <v>2000</v>
      </c>
      <c r="Q13" s="2">
        <f>SUM(C30:C33)</f>
        <v>181.16324926899685</v>
      </c>
      <c r="R13" s="2">
        <f>SUM(D30:D33)</f>
        <v>327.25906721721117</v>
      </c>
      <c r="S13" s="2">
        <f t="shared" si="2"/>
        <v>80.643187035846708</v>
      </c>
      <c r="T13" s="2"/>
      <c r="U13" s="2"/>
      <c r="V13" t="s">
        <v>208</v>
      </c>
      <c r="W13">
        <v>2000</v>
      </c>
      <c r="X13" s="2">
        <f>SUM(J30:J33)</f>
        <v>10.457661347220341</v>
      </c>
      <c r="Y13" s="2">
        <f>SUM(K30:K33)</f>
        <v>4.835394501823818</v>
      </c>
      <c r="Z13" s="2">
        <f t="shared" si="3"/>
        <v>-53.762181225068339</v>
      </c>
      <c r="AD13" t="s">
        <v>208</v>
      </c>
      <c r="AE13">
        <v>2000</v>
      </c>
      <c r="AF13" s="2">
        <f t="shared" si="5"/>
        <v>17.323495498078092</v>
      </c>
      <c r="AG13" s="2">
        <f t="shared" si="6"/>
        <v>67.679910521008225</v>
      </c>
      <c r="AH13" s="2">
        <f t="shared" si="4"/>
        <v>290.68276104275139</v>
      </c>
      <c r="AI13" s="33"/>
      <c r="AJ13" s="33"/>
      <c r="AK13" s="2"/>
      <c r="AR13" s="2"/>
      <c r="AW13" s="2"/>
      <c r="BB13" s="2"/>
    </row>
    <row r="14" spans="1:54" x14ac:dyDescent="0.45">
      <c r="A14" t="s">
        <v>55</v>
      </c>
      <c r="B14">
        <v>1991</v>
      </c>
      <c r="C14">
        <v>48.029779489486891</v>
      </c>
      <c r="D14">
        <v>97.824556949619861</v>
      </c>
      <c r="E14" s="2">
        <f t="shared" si="0"/>
        <v>103.67479923790285</v>
      </c>
      <c r="F14" s="2"/>
      <c r="G14" s="2"/>
      <c r="H14" t="s">
        <v>55</v>
      </c>
      <c r="I14">
        <v>1991</v>
      </c>
      <c r="J14">
        <v>2.1381553942958056</v>
      </c>
      <c r="K14">
        <v>1.3653202204343746</v>
      </c>
      <c r="L14" s="2">
        <f t="shared" si="1"/>
        <v>-36.14494886214581</v>
      </c>
      <c r="M14" s="2"/>
      <c r="N14" s="2"/>
      <c r="O14" t="s">
        <v>207</v>
      </c>
      <c r="P14">
        <v>2003</v>
      </c>
      <c r="Q14" s="2">
        <f>SUM(C34:C35)</f>
        <v>42.211197237195108</v>
      </c>
      <c r="R14" s="2">
        <f>SUM(D34:D35)</f>
        <v>47.243005308155539</v>
      </c>
      <c r="S14" s="2">
        <f t="shared" si="2"/>
        <v>11.920552839772496</v>
      </c>
      <c r="T14" s="2"/>
      <c r="U14" s="2"/>
      <c r="V14" t="s">
        <v>207</v>
      </c>
      <c r="W14">
        <v>2003</v>
      </c>
      <c r="X14" s="2">
        <f>SUM(J34:J35)</f>
        <v>8.5915165939543083</v>
      </c>
      <c r="Y14" s="2">
        <f>SUM(K34:K35)</f>
        <v>2.8733927947089413</v>
      </c>
      <c r="Z14" s="2">
        <f t="shared" si="3"/>
        <v>-66.555464762404171</v>
      </c>
      <c r="AA14">
        <f>X14/(X14+X15)</f>
        <v>0.44250475667638339</v>
      </c>
      <c r="AB14">
        <f>Y14/(Y14+Y15)</f>
        <v>0.39929223606937925</v>
      </c>
      <c r="AD14" t="s">
        <v>207</v>
      </c>
      <c r="AE14">
        <v>2003</v>
      </c>
      <c r="AF14" s="2">
        <f t="shared" si="5"/>
        <v>4.9131252643914287</v>
      </c>
      <c r="AG14" s="2">
        <f t="shared" si="6"/>
        <v>16.441540952962885</v>
      </c>
      <c r="AH14" s="2">
        <f t="shared" si="4"/>
        <v>234.64526280502722</v>
      </c>
      <c r="AK14" s="2"/>
      <c r="AR14" s="2"/>
      <c r="AW14" s="2"/>
      <c r="BB14" s="2"/>
    </row>
    <row r="15" spans="1:54" x14ac:dyDescent="0.45">
      <c r="A15" t="s">
        <v>56</v>
      </c>
      <c r="B15">
        <v>1991</v>
      </c>
      <c r="C15">
        <v>26.08393051634037</v>
      </c>
      <c r="D15">
        <v>25.424301702187901</v>
      </c>
      <c r="E15" s="2">
        <f t="shared" si="0"/>
        <v>-2.5288704619851781</v>
      </c>
      <c r="F15" s="2"/>
      <c r="G15" s="2"/>
      <c r="H15" t="s">
        <v>56</v>
      </c>
      <c r="I15">
        <v>1991</v>
      </c>
      <c r="J15">
        <v>0.3241046479078411</v>
      </c>
      <c r="K15">
        <v>0.31431434752739851</v>
      </c>
      <c r="L15" s="2">
        <f t="shared" si="1"/>
        <v>-3.0207219932330189</v>
      </c>
      <c r="M15" s="2"/>
      <c r="N15" s="2"/>
      <c r="O15" t="s">
        <v>208</v>
      </c>
      <c r="P15">
        <v>2003</v>
      </c>
      <c r="Q15" s="2">
        <f>SUM(C36:C39)</f>
        <v>187.44408776280488</v>
      </c>
      <c r="R15" s="2">
        <f>SUM(D36:D39)</f>
        <v>227.4140085340799</v>
      </c>
      <c r="S15" s="2">
        <f t="shared" si="2"/>
        <v>21.323649760484134</v>
      </c>
      <c r="T15" s="2"/>
      <c r="U15" s="2"/>
      <c r="V15" t="s">
        <v>208</v>
      </c>
      <c r="W15">
        <v>2003</v>
      </c>
      <c r="X15" s="2">
        <f>SUM(J36:J39)</f>
        <v>10.824131406045691</v>
      </c>
      <c r="Y15" s="2">
        <f>SUM(K36:K39)</f>
        <v>4.3228222456698386</v>
      </c>
      <c r="Z15" s="2">
        <f t="shared" si="3"/>
        <v>-60.063102677639542</v>
      </c>
      <c r="AD15" t="s">
        <v>208</v>
      </c>
      <c r="AE15">
        <v>2003</v>
      </c>
      <c r="AF15" s="2">
        <f t="shared" si="5"/>
        <v>17.317240592451622</v>
      </c>
      <c r="AG15" s="2">
        <f t="shared" si="6"/>
        <v>52.607763079289228</v>
      </c>
      <c r="AH15" s="2">
        <f t="shared" si="4"/>
        <v>203.78837089218661</v>
      </c>
      <c r="AK15" s="2"/>
      <c r="AR15" s="2"/>
      <c r="AW15" s="2"/>
      <c r="BB15" s="2"/>
    </row>
    <row r="16" spans="1:54" x14ac:dyDescent="0.45">
      <c r="A16" t="s">
        <v>49</v>
      </c>
      <c r="B16">
        <v>1994</v>
      </c>
      <c r="C16">
        <v>4.1484474090623111</v>
      </c>
      <c r="D16">
        <v>5.5733889219859032</v>
      </c>
      <c r="E16" s="2">
        <f t="shared" si="0"/>
        <v>34.348790581526906</v>
      </c>
      <c r="F16" s="2"/>
      <c r="G16" s="2"/>
      <c r="H16" t="s">
        <v>49</v>
      </c>
      <c r="I16">
        <v>1994</v>
      </c>
      <c r="J16">
        <v>3.0001113883158808</v>
      </c>
      <c r="K16">
        <v>0.98018058170370492</v>
      </c>
      <c r="L16" s="2">
        <f t="shared" si="1"/>
        <v>-67.328527016660814</v>
      </c>
      <c r="M16" s="2"/>
      <c r="N16" s="2"/>
      <c r="O16" t="s">
        <v>207</v>
      </c>
      <c r="P16">
        <v>2006</v>
      </c>
      <c r="Q16" s="2">
        <f>SUM(C40:C41)</f>
        <v>50.443446252828267</v>
      </c>
      <c r="R16" s="2">
        <f>SUM(D40:D41)</f>
        <v>39.559577248208448</v>
      </c>
      <c r="S16" s="2">
        <f t="shared" si="2"/>
        <v>-21.576378723350174</v>
      </c>
      <c r="T16" s="2"/>
      <c r="U16" s="2"/>
      <c r="V16" t="s">
        <v>207</v>
      </c>
      <c r="W16">
        <v>2006</v>
      </c>
      <c r="X16" s="2">
        <f>SUM(J40:J41)</f>
        <v>9.7505394274850374</v>
      </c>
      <c r="Y16" s="2">
        <f>SUM(K40:K41)</f>
        <v>2.241004650590726</v>
      </c>
      <c r="Z16" s="2">
        <f t="shared" si="3"/>
        <v>-77.01660849374413</v>
      </c>
      <c r="AA16">
        <f>X16/(X16+X17)</f>
        <v>0.45023811557120963</v>
      </c>
      <c r="AB16">
        <f>Y16/(Y16+Y17)</f>
        <v>0.30758385464677529</v>
      </c>
      <c r="AD16" t="s">
        <v>207</v>
      </c>
      <c r="AE16">
        <v>2006</v>
      </c>
      <c r="AF16" s="2">
        <f t="shared" si="5"/>
        <v>5.1734005721403635</v>
      </c>
      <c r="AG16" s="2">
        <f t="shared" si="6"/>
        <v>17.652608278961221</v>
      </c>
      <c r="AH16" s="2">
        <f t="shared" si="4"/>
        <v>241.21866329128852</v>
      </c>
      <c r="AK16" s="2"/>
      <c r="AR16" s="2"/>
      <c r="AW16" s="2"/>
      <c r="BB16" s="2"/>
    </row>
    <row r="17" spans="1:54" x14ac:dyDescent="0.45">
      <c r="A17" t="s">
        <v>51</v>
      </c>
      <c r="B17">
        <v>1994</v>
      </c>
      <c r="C17">
        <v>18.912417424444186</v>
      </c>
      <c r="D17">
        <v>17.55663031921182</v>
      </c>
      <c r="E17" s="2">
        <f t="shared" si="0"/>
        <v>-7.1687668202586279</v>
      </c>
      <c r="F17" s="2"/>
      <c r="G17" s="2"/>
      <c r="H17" t="s">
        <v>51</v>
      </c>
      <c r="I17">
        <v>1994</v>
      </c>
      <c r="J17">
        <v>3.1826930413774464</v>
      </c>
      <c r="K17">
        <v>1.4524508825277747</v>
      </c>
      <c r="L17" s="2">
        <f t="shared" si="1"/>
        <v>-54.364091552505968</v>
      </c>
      <c r="M17" s="2"/>
      <c r="N17" s="2"/>
      <c r="O17" t="s">
        <v>208</v>
      </c>
      <c r="P17">
        <v>2006</v>
      </c>
      <c r="Q17" s="2">
        <f>SUM(C42:C45)</f>
        <v>231.08381574717174</v>
      </c>
      <c r="R17" s="2">
        <f>SUM(D42:D45)</f>
        <v>312.7651522572238</v>
      </c>
      <c r="S17" s="2">
        <f t="shared" si="2"/>
        <v>35.347060652408224</v>
      </c>
      <c r="T17" s="2"/>
      <c r="U17" s="2"/>
      <c r="V17" t="s">
        <v>208</v>
      </c>
      <c r="W17">
        <v>2006</v>
      </c>
      <c r="X17" s="2">
        <f>SUM(J42:J45)</f>
        <v>11.905866572514963</v>
      </c>
      <c r="Y17" s="2">
        <f>SUM(K42:K45)</f>
        <v>5.044828518917674</v>
      </c>
      <c r="Z17" s="2">
        <f t="shared" si="3"/>
        <v>-57.627372285829182</v>
      </c>
      <c r="AD17" t="s">
        <v>208</v>
      </c>
      <c r="AE17">
        <v>2006</v>
      </c>
      <c r="AF17" s="2">
        <f t="shared" si="5"/>
        <v>19.409239498839622</v>
      </c>
      <c r="AG17" s="2">
        <f t="shared" si="6"/>
        <v>61.997182081488262</v>
      </c>
      <c r="AH17" s="2">
        <f t="shared" si="4"/>
        <v>219.42097517625433</v>
      </c>
      <c r="AK17" s="2"/>
      <c r="AR17" s="2"/>
      <c r="AW17" s="2"/>
      <c r="BB17" s="2"/>
    </row>
    <row r="18" spans="1:54" x14ac:dyDescent="0.45">
      <c r="A18" t="s">
        <v>53</v>
      </c>
      <c r="B18">
        <v>1994</v>
      </c>
      <c r="C18">
        <v>28.148414545942117</v>
      </c>
      <c r="D18">
        <v>26.817401839719782</v>
      </c>
      <c r="E18" s="2">
        <f t="shared" si="0"/>
        <v>-4.7285530204549815</v>
      </c>
      <c r="F18" s="2"/>
      <c r="G18" s="2"/>
      <c r="H18" t="s">
        <v>53</v>
      </c>
      <c r="I18">
        <v>1994</v>
      </c>
      <c r="J18">
        <v>4.0944083297344687</v>
      </c>
      <c r="K18">
        <v>1.9459066875120365</v>
      </c>
      <c r="L18" s="2">
        <f t="shared" si="1"/>
        <v>-52.474044335528383</v>
      </c>
      <c r="M18" s="2"/>
      <c r="N18" s="2"/>
      <c r="O18" t="s">
        <v>207</v>
      </c>
      <c r="P18">
        <v>2009</v>
      </c>
      <c r="Q18" s="2">
        <f>SUM(C46:C47)</f>
        <v>45.444830328347756</v>
      </c>
      <c r="R18" s="2">
        <f>SUM(D46:D47)</f>
        <v>50.134802622306253</v>
      </c>
      <c r="S18" s="2">
        <f t="shared" si="2"/>
        <v>10.320144799909107</v>
      </c>
      <c r="T18" s="2"/>
      <c r="U18" s="2"/>
      <c r="V18" t="s">
        <v>207</v>
      </c>
      <c r="W18">
        <v>2009</v>
      </c>
      <c r="X18" s="2">
        <f>SUM(J46:J47)</f>
        <v>10.781237763753801</v>
      </c>
      <c r="Y18" s="2">
        <f>SUM(K46:K47)</f>
        <v>2.9074170636172916</v>
      </c>
      <c r="Z18" s="2">
        <f t="shared" si="3"/>
        <v>-73.032622716178835</v>
      </c>
      <c r="AA18">
        <f>X18/(X18+X19)</f>
        <v>0.4875788296301104</v>
      </c>
      <c r="AB18">
        <f>Y18/(Y18+Y19)</f>
        <v>0.37401497261913424</v>
      </c>
      <c r="AD18" t="s">
        <v>207</v>
      </c>
      <c r="AE18">
        <v>2009</v>
      </c>
      <c r="AF18" s="2">
        <f t="shared" si="5"/>
        <v>4.2151774521782572</v>
      </c>
      <c r="AG18" s="2">
        <f t="shared" si="6"/>
        <v>17.243760191711385</v>
      </c>
      <c r="AH18" s="2">
        <f t="shared" si="4"/>
        <v>309.08740823711724</v>
      </c>
      <c r="AK18" s="2"/>
      <c r="AR18" s="2"/>
      <c r="AW18" s="2"/>
      <c r="BB18" s="2"/>
    </row>
    <row r="19" spans="1:54" x14ac:dyDescent="0.45">
      <c r="A19" t="s">
        <v>54</v>
      </c>
      <c r="B19">
        <v>1994</v>
      </c>
      <c r="C19">
        <v>29.307043473885287</v>
      </c>
      <c r="D19">
        <v>25.01554097548631</v>
      </c>
      <c r="E19" s="2">
        <f t="shared" si="0"/>
        <v>-14.643246092779775</v>
      </c>
      <c r="F19" s="2"/>
      <c r="G19" s="2"/>
      <c r="H19" t="s">
        <v>54</v>
      </c>
      <c r="I19">
        <v>1994</v>
      </c>
      <c r="J19">
        <v>3.059509573737536</v>
      </c>
      <c r="K19">
        <v>1.5630529968366336</v>
      </c>
      <c r="L19" s="2">
        <f t="shared" si="1"/>
        <v>-48.911648773591253</v>
      </c>
      <c r="M19" s="2"/>
      <c r="N19" s="2"/>
      <c r="O19" t="s">
        <v>208</v>
      </c>
      <c r="P19">
        <v>2009</v>
      </c>
      <c r="Q19" s="2">
        <f>SUM(C48:C51)</f>
        <v>199.53799367165223</v>
      </c>
      <c r="R19" s="2">
        <f>SUM(D48:D51)</f>
        <v>236.30943186848495</v>
      </c>
      <c r="S19" s="2">
        <f t="shared" si="2"/>
        <v>18.428289029176867</v>
      </c>
      <c r="T19" s="2"/>
      <c r="U19" s="2"/>
      <c r="V19" t="s">
        <v>208</v>
      </c>
      <c r="W19">
        <v>2009</v>
      </c>
      <c r="X19" s="2">
        <f>SUM(J48:J51)</f>
        <v>11.330546236246199</v>
      </c>
      <c r="Y19" s="2">
        <f>SUM(K48:K51)</f>
        <v>4.8661141489364992</v>
      </c>
      <c r="Z19" s="2">
        <f t="shared" si="3"/>
        <v>-57.053137179124747</v>
      </c>
      <c r="AD19" t="s">
        <v>208</v>
      </c>
      <c r="AE19">
        <v>2009</v>
      </c>
      <c r="AF19" s="2">
        <f t="shared" si="5"/>
        <v>17.610624369841414</v>
      </c>
      <c r="AG19" s="2">
        <f t="shared" si="6"/>
        <v>48.562245898019249</v>
      </c>
      <c r="AH19" s="2">
        <f t="shared" si="4"/>
        <v>175.75538991782241</v>
      </c>
      <c r="AK19" s="2"/>
      <c r="AR19" s="2"/>
      <c r="AW19" s="2"/>
      <c r="BB19" s="2"/>
    </row>
    <row r="20" spans="1:54" x14ac:dyDescent="0.45">
      <c r="A20" t="s">
        <v>55</v>
      </c>
      <c r="B20">
        <v>1994</v>
      </c>
      <c r="C20">
        <v>55.232865058581375</v>
      </c>
      <c r="D20">
        <v>69.498446459588209</v>
      </c>
      <c r="E20" s="2">
        <f t="shared" si="0"/>
        <v>25.828067013862846</v>
      </c>
      <c r="F20" s="2"/>
      <c r="G20" s="2"/>
      <c r="H20" t="s">
        <v>55</v>
      </c>
      <c r="I20">
        <v>1994</v>
      </c>
      <c r="J20">
        <v>2.2721236954895625</v>
      </c>
      <c r="K20">
        <v>1.1438476564948705</v>
      </c>
      <c r="L20" s="2">
        <f t="shared" si="1"/>
        <v>-49.657333411664823</v>
      </c>
      <c r="M20" s="2"/>
      <c r="N20" s="2"/>
      <c r="O20" t="s">
        <v>207</v>
      </c>
      <c r="P20">
        <v>2012</v>
      </c>
      <c r="Q20" s="2">
        <f>SUM(C52:C53)</f>
        <v>68.871790408383248</v>
      </c>
      <c r="R20" s="2">
        <f>SUM(D52:D53)</f>
        <v>29.462441158361898</v>
      </c>
      <c r="S20" s="2">
        <f t="shared" si="2"/>
        <v>-57.221322425827843</v>
      </c>
      <c r="T20" s="2"/>
      <c r="U20" s="2"/>
      <c r="V20" t="s">
        <v>207</v>
      </c>
      <c r="W20">
        <v>2012</v>
      </c>
      <c r="X20" s="2">
        <f>SUM(J52:J53)</f>
        <v>11.372095197384125</v>
      </c>
      <c r="Y20" s="2">
        <f>SUM(K52:K53)</f>
        <v>2.2942460549332262</v>
      </c>
      <c r="Z20" s="2">
        <f t="shared" si="3"/>
        <v>-79.825652044656096</v>
      </c>
      <c r="AA20">
        <f>X20/(X20+X21)</f>
        <v>0.49369357311961387</v>
      </c>
      <c r="AB20">
        <f>Y20/(Y20+Y21)</f>
        <v>0.3753212784946347</v>
      </c>
      <c r="AD20" t="s">
        <v>207</v>
      </c>
      <c r="AE20">
        <v>2012</v>
      </c>
      <c r="AF20" s="2">
        <f t="shared" si="5"/>
        <v>6.0562094506758557</v>
      </c>
      <c r="AG20" s="2">
        <f t="shared" si="6"/>
        <v>12.841883761774366</v>
      </c>
      <c r="AH20" s="2">
        <f t="shared" si="4"/>
        <v>112.04490806276932</v>
      </c>
      <c r="AK20" s="2"/>
      <c r="AR20" s="2"/>
      <c r="AW20" s="2"/>
      <c r="BB20" s="2"/>
    </row>
    <row r="21" spans="1:54" x14ac:dyDescent="0.45">
      <c r="A21" t="s">
        <v>56</v>
      </c>
      <c r="B21">
        <v>1994</v>
      </c>
      <c r="C21">
        <v>30.454401088084719</v>
      </c>
      <c r="D21">
        <v>20.249708326846321</v>
      </c>
      <c r="E21" s="2">
        <f t="shared" si="0"/>
        <v>-33.508105221714516</v>
      </c>
      <c r="F21" s="2"/>
      <c r="G21" s="2"/>
      <c r="H21" t="s">
        <v>56</v>
      </c>
      <c r="I21">
        <v>1994</v>
      </c>
      <c r="J21">
        <v>0.33527897134510609</v>
      </c>
      <c r="K21">
        <v>0.19707034134942966</v>
      </c>
      <c r="L21" s="2">
        <f t="shared" si="1"/>
        <v>-41.221979845976342</v>
      </c>
      <c r="M21" s="2"/>
      <c r="N21" s="2"/>
      <c r="O21" t="s">
        <v>208</v>
      </c>
      <c r="P21">
        <v>2012</v>
      </c>
      <c r="Q21" s="2">
        <f>SUM(C54:C57)</f>
        <v>235.31974659161673</v>
      </c>
      <c r="R21" s="2">
        <f>SUM(D54:D57)</f>
        <v>241.67848438419023</v>
      </c>
      <c r="S21" s="2">
        <f t="shared" si="2"/>
        <v>2.7021692334254888</v>
      </c>
      <c r="T21" s="2"/>
      <c r="U21" s="2"/>
      <c r="V21" t="s">
        <v>208</v>
      </c>
      <c r="W21">
        <v>2012</v>
      </c>
      <c r="X21" s="2">
        <f>SUM(J54:J57)</f>
        <v>11.662628802615876</v>
      </c>
      <c r="Y21" s="2">
        <f>SUM(K54:K57)</f>
        <v>3.818506369163674</v>
      </c>
      <c r="Z21" s="2">
        <f t="shared" si="3"/>
        <v>-67.258613527104629</v>
      </c>
      <c r="AD21" t="s">
        <v>208</v>
      </c>
      <c r="AE21">
        <v>2012</v>
      </c>
      <c r="AF21" s="2">
        <f t="shared" si="5"/>
        <v>20.177247392014703</v>
      </c>
      <c r="AG21" s="2">
        <f t="shared" si="6"/>
        <v>63.291366052408193</v>
      </c>
      <c r="AH21" s="2">
        <f t="shared" si="4"/>
        <v>213.6769095543539</v>
      </c>
      <c r="AK21" s="2"/>
      <c r="AR21" s="2"/>
      <c r="AW21" s="2"/>
      <c r="BB21" s="2"/>
    </row>
    <row r="22" spans="1:54" x14ac:dyDescent="0.45">
      <c r="A22" t="s">
        <v>49</v>
      </c>
      <c r="B22">
        <v>1997</v>
      </c>
      <c r="C22">
        <v>7.0933471158242574</v>
      </c>
      <c r="D22">
        <v>8.2673072745011336</v>
      </c>
      <c r="E22" s="2">
        <f t="shared" si="0"/>
        <v>16.550158049617178</v>
      </c>
      <c r="F22" s="2"/>
      <c r="G22" s="2"/>
      <c r="H22" t="s">
        <v>49</v>
      </c>
      <c r="I22">
        <v>1997</v>
      </c>
      <c r="J22">
        <v>3.3649804717162621</v>
      </c>
      <c r="K22">
        <v>0.75518635406059587</v>
      </c>
      <c r="L22" s="2">
        <f t="shared" si="1"/>
        <v>-77.557481821716976</v>
      </c>
      <c r="M22" s="2"/>
      <c r="N22" s="2"/>
      <c r="O22" t="s">
        <v>207</v>
      </c>
      <c r="P22">
        <v>2015</v>
      </c>
      <c r="Q22" s="2">
        <f>SUM(C58:C59)</f>
        <v>73.040271175280751</v>
      </c>
      <c r="R22" s="2">
        <f>SUM(D58:D59)</f>
        <v>35.570261843215619</v>
      </c>
      <c r="S22" s="2">
        <f t="shared" si="2"/>
        <v>-51.300479487740766</v>
      </c>
      <c r="T22" s="2"/>
      <c r="U22" s="2"/>
      <c r="V22" t="s">
        <v>207</v>
      </c>
      <c r="W22">
        <v>2015</v>
      </c>
      <c r="X22" s="2">
        <f>SUM(J58:J59)</f>
        <v>12.258361304173562</v>
      </c>
      <c r="Y22" s="2">
        <f>SUM(K58:K59)</f>
        <v>2.5104240053412274</v>
      </c>
      <c r="Z22" s="2">
        <f t="shared" si="3"/>
        <v>-79.520721056847023</v>
      </c>
      <c r="AA22">
        <f>X22/(X22+X23)</f>
        <v>0.49574944402410676</v>
      </c>
      <c r="AB22">
        <f>Y22/(Y22+Y23)</f>
        <v>0.35161115347762067</v>
      </c>
      <c r="AD22" t="s">
        <v>207</v>
      </c>
      <c r="AE22">
        <v>2015</v>
      </c>
      <c r="AF22" s="2">
        <f t="shared" si="5"/>
        <v>5.9584041751496573</v>
      </c>
      <c r="AG22" s="2">
        <f t="shared" si="6"/>
        <v>14.169025538130464</v>
      </c>
      <c r="AH22" s="2">
        <f t="shared" si="4"/>
        <v>137.7989998937019</v>
      </c>
      <c r="AK22" s="2"/>
      <c r="AR22" s="2"/>
      <c r="AW22" s="2"/>
      <c r="BB22" s="2"/>
    </row>
    <row r="23" spans="1:54" x14ac:dyDescent="0.45">
      <c r="A23" t="s">
        <v>51</v>
      </c>
      <c r="B23">
        <v>1997</v>
      </c>
      <c r="C23">
        <v>22.288929916015668</v>
      </c>
      <c r="D23">
        <v>28.147553716558914</v>
      </c>
      <c r="E23" s="2">
        <f t="shared" si="0"/>
        <v>26.2849038631215</v>
      </c>
      <c r="F23" s="2"/>
      <c r="G23" s="2"/>
      <c r="H23" t="s">
        <v>51</v>
      </c>
      <c r="I23">
        <v>1997</v>
      </c>
      <c r="J23">
        <v>3.4106798521590607</v>
      </c>
      <c r="K23">
        <v>1.2950947271681974</v>
      </c>
      <c r="L23" s="2">
        <f t="shared" si="1"/>
        <v>-62.028252920063302</v>
      </c>
      <c r="M23" s="2"/>
      <c r="N23" s="2"/>
      <c r="O23" t="s">
        <v>208</v>
      </c>
      <c r="P23">
        <v>2015</v>
      </c>
      <c r="Q23" s="2">
        <f>SUM(C60:C63)</f>
        <v>258.77402782471921</v>
      </c>
      <c r="R23" s="2">
        <f>SUM(D60:D63)</f>
        <v>248.55632926133322</v>
      </c>
      <c r="S23" s="2">
        <f t="shared" si="2"/>
        <v>-3.9485023475025711</v>
      </c>
      <c r="T23" s="2"/>
      <c r="U23" s="2"/>
      <c r="V23" t="s">
        <v>208</v>
      </c>
      <c r="W23">
        <v>2015</v>
      </c>
      <c r="X23" s="2">
        <f>SUM(J60:J63)</f>
        <v>12.468567695826438</v>
      </c>
      <c r="Y23" s="2">
        <f>SUM(K60:K63)</f>
        <v>4.629349521498872</v>
      </c>
      <c r="Z23" s="2">
        <f t="shared" si="3"/>
        <v>-62.871841943413926</v>
      </c>
      <c r="AD23" t="s">
        <v>208</v>
      </c>
      <c r="AE23">
        <v>2015</v>
      </c>
      <c r="AF23" s="2">
        <f t="shared" si="5"/>
        <v>20.754110186315767</v>
      </c>
      <c r="AG23" s="2">
        <f t="shared" si="6"/>
        <v>53.691415631295143</v>
      </c>
      <c r="AH23" s="2">
        <f t="shared" si="4"/>
        <v>158.7025661389068</v>
      </c>
      <c r="AK23" s="2"/>
      <c r="AR23" s="2"/>
      <c r="AW23" s="2"/>
      <c r="BB23" s="2"/>
    </row>
    <row r="24" spans="1:54" x14ac:dyDescent="0.45">
      <c r="A24" t="s">
        <v>53</v>
      </c>
      <c r="B24">
        <v>1997</v>
      </c>
      <c r="C24">
        <v>31.518446904916058</v>
      </c>
      <c r="D24">
        <v>48.484610437146721</v>
      </c>
      <c r="E24" s="2">
        <f t="shared" si="0"/>
        <v>53.829313301552247</v>
      </c>
      <c r="F24" s="2"/>
      <c r="G24" s="2"/>
      <c r="H24" t="s">
        <v>53</v>
      </c>
      <c r="I24">
        <v>1997</v>
      </c>
      <c r="J24">
        <v>4.2094124454270627</v>
      </c>
      <c r="K24">
        <v>2.1087406425368691</v>
      </c>
      <c r="L24" s="2">
        <f t="shared" si="1"/>
        <v>-49.904157174531072</v>
      </c>
      <c r="M24" s="2"/>
      <c r="N24" s="2"/>
      <c r="S24" s="2"/>
      <c r="T24" s="2"/>
      <c r="U24" s="2"/>
    </row>
    <row r="25" spans="1:54" x14ac:dyDescent="0.45">
      <c r="A25" t="s">
        <v>54</v>
      </c>
      <c r="B25">
        <v>1997</v>
      </c>
      <c r="C25">
        <v>32.766773165288811</v>
      </c>
      <c r="D25">
        <v>53.859334168475925</v>
      </c>
      <c r="E25" s="2">
        <f t="shared" si="0"/>
        <v>64.371797908777097</v>
      </c>
      <c r="F25" s="2"/>
      <c r="G25" s="2"/>
      <c r="H25" t="s">
        <v>54</v>
      </c>
      <c r="I25">
        <v>1997</v>
      </c>
      <c r="J25">
        <v>3.218277846857613</v>
      </c>
      <c r="K25">
        <v>1.4224083426733045</v>
      </c>
      <c r="L25" s="2">
        <f t="shared" si="1"/>
        <v>-55.802189544878154</v>
      </c>
      <c r="M25" s="2"/>
      <c r="N25" s="2"/>
      <c r="S25" s="2"/>
      <c r="T25" s="2"/>
      <c r="U25" s="2"/>
    </row>
    <row r="26" spans="1:54" x14ac:dyDescent="0.45">
      <c r="A26" t="s">
        <v>55</v>
      </c>
      <c r="B26">
        <v>1997</v>
      </c>
      <c r="C26">
        <v>64.310045555535382</v>
      </c>
      <c r="D26">
        <v>99.039701184134515</v>
      </c>
      <c r="E26" s="2">
        <f t="shared" si="0"/>
        <v>54.003469175912961</v>
      </c>
      <c r="F26" s="2"/>
      <c r="G26" s="2"/>
      <c r="H26" t="s">
        <v>55</v>
      </c>
      <c r="I26">
        <v>1997</v>
      </c>
      <c r="J26">
        <v>2.3955180420263398</v>
      </c>
      <c r="K26">
        <v>1.1952697886646833</v>
      </c>
      <c r="L26" s="2">
        <f t="shared" si="1"/>
        <v>-50.103912068488576</v>
      </c>
      <c r="M26" s="2"/>
      <c r="N26" s="2"/>
      <c r="S26" s="2"/>
      <c r="T26" s="2"/>
      <c r="U26" s="2"/>
    </row>
    <row r="27" spans="1:54" x14ac:dyDescent="0.45">
      <c r="A27" t="s">
        <v>56</v>
      </c>
      <c r="B27">
        <v>1997</v>
      </c>
      <c r="C27">
        <v>28.763670342419832</v>
      </c>
      <c r="D27">
        <v>64.90956975235936</v>
      </c>
      <c r="E27" s="2">
        <f t="shared" si="0"/>
        <v>125.66511498580415</v>
      </c>
      <c r="F27" s="2"/>
      <c r="G27" s="2"/>
      <c r="H27" t="s">
        <v>56</v>
      </c>
      <c r="I27">
        <v>1997</v>
      </c>
      <c r="J27">
        <v>0.33870834181366261</v>
      </c>
      <c r="K27">
        <v>0.23199818703206973</v>
      </c>
      <c r="L27" s="2">
        <f t="shared" si="1"/>
        <v>-31.505027071432011</v>
      </c>
      <c r="M27" s="2"/>
      <c r="N27" s="2"/>
      <c r="S27" s="2"/>
      <c r="T27" s="2"/>
      <c r="U27" s="2"/>
    </row>
    <row r="28" spans="1:54" x14ac:dyDescent="0.45">
      <c r="A28" t="s">
        <v>49</v>
      </c>
      <c r="B28">
        <v>2000</v>
      </c>
      <c r="C28">
        <v>8.9828015744441565</v>
      </c>
      <c r="D28">
        <v>15.280899373162352</v>
      </c>
      <c r="E28" s="2">
        <f t="shared" si="0"/>
        <v>70.112845603048001</v>
      </c>
      <c r="F28" s="2"/>
      <c r="G28" s="2"/>
      <c r="H28" t="s">
        <v>49</v>
      </c>
      <c r="I28">
        <v>2000</v>
      </c>
      <c r="J28">
        <v>3.7324125483613333</v>
      </c>
      <c r="K28">
        <v>1.2070899783683589</v>
      </c>
      <c r="L28" s="2">
        <f t="shared" si="1"/>
        <v>-67.659256239015818</v>
      </c>
      <c r="M28" s="2"/>
      <c r="N28" s="2"/>
      <c r="S28" s="2"/>
      <c r="T28" s="2"/>
      <c r="U28" s="2"/>
    </row>
    <row r="29" spans="1:54" x14ac:dyDescent="0.45">
      <c r="A29" t="s">
        <v>51</v>
      </c>
      <c r="B29">
        <v>2000</v>
      </c>
      <c r="C29">
        <v>23.719302156558999</v>
      </c>
      <c r="D29">
        <v>28.296302437968262</v>
      </c>
      <c r="E29" s="2">
        <f t="shared" si="0"/>
        <v>19.296521673356242</v>
      </c>
      <c r="F29" s="2"/>
      <c r="G29" s="2"/>
      <c r="H29" t="s">
        <v>51</v>
      </c>
      <c r="I29">
        <v>2000</v>
      </c>
      <c r="J29">
        <v>3.4099351044183268</v>
      </c>
      <c r="K29">
        <v>1.3655173664678222</v>
      </c>
      <c r="L29" s="2">
        <f t="shared" si="1"/>
        <v>-59.954740349794577</v>
      </c>
      <c r="M29" s="2"/>
      <c r="N29" s="2"/>
      <c r="S29" s="2"/>
      <c r="T29" s="2"/>
      <c r="U29" s="2"/>
    </row>
    <row r="30" spans="1:54" x14ac:dyDescent="0.45">
      <c r="A30" t="s">
        <v>53</v>
      </c>
      <c r="B30">
        <v>2000</v>
      </c>
      <c r="C30">
        <v>36.219966254368551</v>
      </c>
      <c r="D30">
        <v>50.561970037522507</v>
      </c>
      <c r="E30" s="2">
        <f t="shared" si="0"/>
        <v>39.596955122574535</v>
      </c>
      <c r="F30" s="2"/>
      <c r="G30" s="2"/>
      <c r="H30" t="s">
        <v>53</v>
      </c>
      <c r="I30">
        <v>2000</v>
      </c>
      <c r="J30">
        <v>4.3844885479325431</v>
      </c>
      <c r="K30">
        <v>1.8738789575575987</v>
      </c>
      <c r="L30" s="2">
        <f t="shared" si="1"/>
        <v>-57.26117340547723</v>
      </c>
      <c r="M30" s="2"/>
      <c r="N30" s="2"/>
      <c r="S30" s="2"/>
      <c r="T30" s="2"/>
      <c r="U30" s="2"/>
    </row>
    <row r="31" spans="1:54" x14ac:dyDescent="0.45">
      <c r="A31" t="s">
        <v>54</v>
      </c>
      <c r="B31">
        <v>2000</v>
      </c>
      <c r="C31">
        <v>36.429095326921527</v>
      </c>
      <c r="D31">
        <v>61.889047526146889</v>
      </c>
      <c r="E31" s="2">
        <f t="shared" si="0"/>
        <v>69.889059749474924</v>
      </c>
      <c r="F31" s="2"/>
      <c r="G31" s="2"/>
      <c r="H31" t="s">
        <v>54</v>
      </c>
      <c r="I31">
        <v>2000</v>
      </c>
      <c r="J31">
        <v>3.2652162201709007</v>
      </c>
      <c r="K31">
        <v>1.6223557573659189</v>
      </c>
      <c r="L31" s="2">
        <f t="shared" si="1"/>
        <v>-50.313986946904087</v>
      </c>
      <c r="M31" s="2"/>
      <c r="N31" s="2"/>
      <c r="S31" s="2"/>
      <c r="T31" s="2"/>
      <c r="U31" s="2"/>
    </row>
    <row r="32" spans="1:54" x14ac:dyDescent="0.45">
      <c r="A32" t="s">
        <v>55</v>
      </c>
      <c r="B32">
        <v>2000</v>
      </c>
      <c r="C32">
        <v>76.776026036989663</v>
      </c>
      <c r="D32">
        <v>173.31693474292595</v>
      </c>
      <c r="E32" s="2">
        <f t="shared" si="0"/>
        <v>125.74356044349595</v>
      </c>
      <c r="F32" s="2"/>
      <c r="G32" s="2"/>
      <c r="H32" t="s">
        <v>55</v>
      </c>
      <c r="I32">
        <v>2000</v>
      </c>
      <c r="J32">
        <v>2.4816404977867741</v>
      </c>
      <c r="K32">
        <v>1.2114188877836261</v>
      </c>
      <c r="L32" s="2">
        <f t="shared" si="1"/>
        <v>-51.184755049572345</v>
      </c>
      <c r="M32" s="2"/>
      <c r="N32" s="2"/>
      <c r="S32" s="2"/>
      <c r="T32" s="2"/>
      <c r="U32" s="2"/>
    </row>
    <row r="33" spans="1:21" x14ac:dyDescent="0.45">
      <c r="A33" t="s">
        <v>56</v>
      </c>
      <c r="B33">
        <v>2000</v>
      </c>
      <c r="C33">
        <v>31.73816165071711</v>
      </c>
      <c r="D33">
        <v>41.491114910615799</v>
      </c>
      <c r="E33" s="2">
        <f t="shared" si="0"/>
        <v>30.729420838016068</v>
      </c>
      <c r="F33" s="2"/>
      <c r="G33" s="2"/>
      <c r="H33" t="s">
        <v>56</v>
      </c>
      <c r="I33">
        <v>2000</v>
      </c>
      <c r="J33">
        <v>0.32631608133012263</v>
      </c>
      <c r="K33">
        <v>0.12774089911667469</v>
      </c>
      <c r="L33" s="2">
        <f t="shared" si="1"/>
        <v>-60.853630444451291</v>
      </c>
      <c r="M33" s="2"/>
      <c r="N33" s="2"/>
      <c r="S33" s="2"/>
      <c r="T33" s="2"/>
      <c r="U33" s="2"/>
    </row>
    <row r="34" spans="1:21" x14ac:dyDescent="0.45">
      <c r="A34" t="s">
        <v>49</v>
      </c>
      <c r="B34">
        <v>2003</v>
      </c>
      <c r="C34">
        <v>12.480498255994002</v>
      </c>
      <c r="D34">
        <v>14.202427155731174</v>
      </c>
      <c r="E34" s="2">
        <f t="shared" si="0"/>
        <v>13.796956374800038</v>
      </c>
      <c r="F34" s="2"/>
      <c r="G34" s="2"/>
      <c r="H34" t="s">
        <v>49</v>
      </c>
      <c r="I34">
        <v>2003</v>
      </c>
      <c r="J34">
        <v>4.6335067667212702</v>
      </c>
      <c r="K34">
        <v>1.3558472121921681</v>
      </c>
      <c r="L34" s="2">
        <f t="shared" si="1"/>
        <v>-70.738205845945416</v>
      </c>
      <c r="M34" s="2"/>
      <c r="N34" s="2"/>
      <c r="S34" s="2"/>
      <c r="T34" s="2"/>
      <c r="U34" s="2"/>
    </row>
    <row r="35" spans="1:21" x14ac:dyDescent="0.45">
      <c r="A35" t="s">
        <v>51</v>
      </c>
      <c r="B35">
        <v>2003</v>
      </c>
      <c r="C35">
        <v>29.730698981201108</v>
      </c>
      <c r="D35">
        <v>33.040578152424366</v>
      </c>
      <c r="E35" s="2">
        <f t="shared" si="0"/>
        <v>11.132866984782678</v>
      </c>
      <c r="F35" s="2"/>
      <c r="G35" s="2"/>
      <c r="H35" t="s">
        <v>51</v>
      </c>
      <c r="I35">
        <v>2003</v>
      </c>
      <c r="J35">
        <v>3.9580098272330386</v>
      </c>
      <c r="K35">
        <v>1.5175455825167732</v>
      </c>
      <c r="L35" s="2">
        <f t="shared" si="1"/>
        <v>-61.658872798260397</v>
      </c>
      <c r="M35" s="2"/>
      <c r="N35" s="2"/>
      <c r="S35" s="2"/>
      <c r="T35" s="2"/>
      <c r="U35" s="2"/>
    </row>
    <row r="36" spans="1:21" x14ac:dyDescent="0.45">
      <c r="A36" t="s">
        <v>53</v>
      </c>
      <c r="B36">
        <v>2003</v>
      </c>
      <c r="C36">
        <v>38.345335172020242</v>
      </c>
      <c r="D36">
        <v>46.243761232720658</v>
      </c>
      <c r="E36" s="2">
        <f t="shared" si="0"/>
        <v>20.598140621975123</v>
      </c>
      <c r="F36" s="2"/>
      <c r="G36" s="2"/>
      <c r="H36" t="s">
        <v>53</v>
      </c>
      <c r="I36">
        <v>2003</v>
      </c>
      <c r="J36">
        <v>4.5900132711620927</v>
      </c>
      <c r="K36">
        <v>1.7756214275595199</v>
      </c>
      <c r="L36" s="2">
        <f t="shared" si="1"/>
        <v>-61.315549157225625</v>
      </c>
      <c r="M36" s="2"/>
      <c r="N36" s="2"/>
      <c r="S36" s="2"/>
      <c r="T36" s="2"/>
      <c r="U36" s="2"/>
    </row>
    <row r="37" spans="1:21" x14ac:dyDescent="0.45">
      <c r="A37" t="s">
        <v>54</v>
      </c>
      <c r="B37">
        <v>2003</v>
      </c>
      <c r="C37">
        <v>38.634089218030425</v>
      </c>
      <c r="D37">
        <v>75.324547358103217</v>
      </c>
      <c r="E37" s="2">
        <f t="shared" si="0"/>
        <v>94.969129291520744</v>
      </c>
      <c r="F37" s="2"/>
      <c r="G37" s="2"/>
      <c r="H37" t="s">
        <v>54</v>
      </c>
      <c r="I37">
        <v>2003</v>
      </c>
      <c r="J37">
        <v>3.4091430651193786</v>
      </c>
      <c r="K37">
        <v>1.4682161638275726</v>
      </c>
      <c r="L37" s="2">
        <f t="shared" si="1"/>
        <v>-56.932984747703458</v>
      </c>
      <c r="M37" s="2"/>
      <c r="N37" s="2"/>
      <c r="S37" s="2"/>
      <c r="T37" s="2"/>
      <c r="U37" s="2"/>
    </row>
    <row r="38" spans="1:21" x14ac:dyDescent="0.45">
      <c r="A38" t="s">
        <v>55</v>
      </c>
      <c r="B38">
        <v>2003</v>
      </c>
      <c r="C38">
        <v>77.365082395442755</v>
      </c>
      <c r="D38">
        <v>81.421666627528595</v>
      </c>
      <c r="E38" s="2">
        <f t="shared" si="0"/>
        <v>5.2434303777395002</v>
      </c>
      <c r="F38" s="2"/>
      <c r="G38" s="2"/>
      <c r="H38" t="s">
        <v>55</v>
      </c>
      <c r="I38">
        <v>2003</v>
      </c>
      <c r="J38">
        <v>2.481486394087915</v>
      </c>
      <c r="K38">
        <v>0.9967689390975476</v>
      </c>
      <c r="L38" s="2">
        <f t="shared" si="1"/>
        <v>-59.831778990514444</v>
      </c>
      <c r="M38" s="2"/>
      <c r="N38" s="2"/>
      <c r="S38" s="2"/>
      <c r="T38" s="2"/>
      <c r="U38" s="2"/>
    </row>
    <row r="39" spans="1:21" x14ac:dyDescent="0.45">
      <c r="A39" t="s">
        <v>56</v>
      </c>
      <c r="B39">
        <v>2003</v>
      </c>
      <c r="C39">
        <v>33.099580977311476</v>
      </c>
      <c r="D39">
        <v>24.424033315727424</v>
      </c>
      <c r="E39" s="2">
        <f t="shared" si="0"/>
        <v>-26.210445587002493</v>
      </c>
      <c r="F39" s="2"/>
      <c r="G39" s="2"/>
      <c r="H39" t="s">
        <v>56</v>
      </c>
      <c r="I39">
        <v>2003</v>
      </c>
      <c r="J39">
        <v>0.3434886756763042</v>
      </c>
      <c r="K39">
        <v>8.2215715185199045E-2</v>
      </c>
      <c r="L39" s="2">
        <f t="shared" si="1"/>
        <v>-76.064504885547606</v>
      </c>
      <c r="M39" s="2"/>
      <c r="N39" s="2"/>
      <c r="S39" s="2"/>
      <c r="T39" s="2"/>
      <c r="U39" s="2"/>
    </row>
    <row r="40" spans="1:21" x14ac:dyDescent="0.45">
      <c r="A40" t="s">
        <v>49</v>
      </c>
      <c r="B40">
        <v>2006</v>
      </c>
      <c r="C40">
        <v>15.947367896730269</v>
      </c>
      <c r="D40">
        <v>7.3019382788784508</v>
      </c>
      <c r="E40" s="2">
        <f t="shared" si="0"/>
        <v>-54.212266712831109</v>
      </c>
      <c r="F40" s="2"/>
      <c r="G40" s="2"/>
      <c r="H40" t="s">
        <v>49</v>
      </c>
      <c r="I40">
        <v>2006</v>
      </c>
      <c r="J40">
        <v>5.4788724913206295</v>
      </c>
      <c r="K40">
        <v>0.94777976723069257</v>
      </c>
      <c r="L40" s="2">
        <f t="shared" si="1"/>
        <v>-82.701189547080702</v>
      </c>
      <c r="M40" s="2"/>
      <c r="N40" s="2"/>
      <c r="S40" s="2"/>
      <c r="T40" s="2"/>
      <c r="U40" s="2"/>
    </row>
    <row r="41" spans="1:21" x14ac:dyDescent="0.45">
      <c r="A41" t="s">
        <v>51</v>
      </c>
      <c r="B41">
        <v>2006</v>
      </c>
      <c r="C41">
        <v>34.496078356097996</v>
      </c>
      <c r="D41">
        <v>32.257638969329996</v>
      </c>
      <c r="E41" s="2">
        <f t="shared" si="0"/>
        <v>-6.4889677129699104</v>
      </c>
      <c r="F41" s="2"/>
      <c r="G41" s="2"/>
      <c r="H41" t="s">
        <v>51</v>
      </c>
      <c r="I41">
        <v>2006</v>
      </c>
      <c r="J41">
        <v>4.271666936164408</v>
      </c>
      <c r="K41">
        <v>1.2932248833600335</v>
      </c>
      <c r="L41" s="2">
        <f t="shared" si="1"/>
        <v>-69.725521612852177</v>
      </c>
      <c r="M41" s="2"/>
      <c r="N41" s="2"/>
      <c r="S41" s="2"/>
      <c r="T41" s="2"/>
      <c r="U41" s="2"/>
    </row>
    <row r="42" spans="1:21" x14ac:dyDescent="0.45">
      <c r="A42" t="s">
        <v>53</v>
      </c>
      <c r="B42">
        <v>2006</v>
      </c>
      <c r="C42">
        <v>44.230008534352308</v>
      </c>
      <c r="D42">
        <v>98.110060910920893</v>
      </c>
      <c r="E42" s="2">
        <f t="shared" si="0"/>
        <v>121.81786565725244</v>
      </c>
      <c r="F42" s="2"/>
      <c r="G42" s="2"/>
      <c r="H42" t="s">
        <v>53</v>
      </c>
      <c r="I42">
        <v>2006</v>
      </c>
      <c r="J42">
        <v>5.0188147952220703</v>
      </c>
      <c r="K42">
        <v>2.3487930525551404</v>
      </c>
      <c r="L42" s="2">
        <f t="shared" si="1"/>
        <v>-53.200244512086797</v>
      </c>
      <c r="M42" s="2"/>
      <c r="N42" s="2"/>
      <c r="S42" s="2"/>
      <c r="T42" s="2"/>
      <c r="U42" s="2"/>
    </row>
    <row r="43" spans="1:21" x14ac:dyDescent="0.45">
      <c r="A43" t="s">
        <v>54</v>
      </c>
      <c r="B43">
        <v>2006</v>
      </c>
      <c r="C43">
        <v>50.052996491165729</v>
      </c>
      <c r="D43">
        <v>67.854656625744155</v>
      </c>
      <c r="E43" s="2">
        <f t="shared" si="0"/>
        <v>35.565623204437699</v>
      </c>
      <c r="F43" s="2"/>
      <c r="G43" s="2"/>
      <c r="H43" t="s">
        <v>54</v>
      </c>
      <c r="I43">
        <v>2006</v>
      </c>
      <c r="J43">
        <v>3.7382907792577993</v>
      </c>
      <c r="K43">
        <v>1.4736769537679</v>
      </c>
      <c r="L43" s="2">
        <f t="shared" si="1"/>
        <v>-60.578857002116784</v>
      </c>
      <c r="M43" s="2"/>
      <c r="N43" s="2"/>
      <c r="S43" s="2"/>
      <c r="T43" s="2"/>
      <c r="U43" s="2"/>
    </row>
    <row r="44" spans="1:21" x14ac:dyDescent="0.45">
      <c r="A44" t="s">
        <v>55</v>
      </c>
      <c r="B44">
        <v>2006</v>
      </c>
      <c r="C44">
        <v>92.489549570973693</v>
      </c>
      <c r="D44">
        <v>128.26523785522829</v>
      </c>
      <c r="E44" s="2">
        <f t="shared" si="0"/>
        <v>38.680789829991994</v>
      </c>
      <c r="F44" s="2"/>
      <c r="G44" s="2"/>
      <c r="H44" t="s">
        <v>55</v>
      </c>
      <c r="I44">
        <v>2006</v>
      </c>
      <c r="J44">
        <v>2.7829418914997239</v>
      </c>
      <c r="K44">
        <v>1.1340426852088168</v>
      </c>
      <c r="L44" s="2">
        <f t="shared" si="1"/>
        <v>-59.250220470910278</v>
      </c>
      <c r="M44" s="2"/>
      <c r="N44" s="2"/>
      <c r="S44" s="2"/>
      <c r="T44" s="2"/>
      <c r="U44" s="2"/>
    </row>
    <row r="45" spans="1:21" x14ac:dyDescent="0.45">
      <c r="A45" t="s">
        <v>56</v>
      </c>
      <c r="B45">
        <v>2006</v>
      </c>
      <c r="C45">
        <v>44.311261150680011</v>
      </c>
      <c r="D45">
        <v>18.535196865330505</v>
      </c>
      <c r="E45" s="2">
        <f t="shared" si="0"/>
        <v>-58.17045964387755</v>
      </c>
      <c r="F45" s="2"/>
      <c r="G45" s="2"/>
      <c r="H45" t="s">
        <v>56</v>
      </c>
      <c r="I45">
        <v>2006</v>
      </c>
      <c r="J45">
        <v>0.36581910653536887</v>
      </c>
      <c r="K45">
        <v>8.8315827385816809E-2</v>
      </c>
      <c r="L45" s="2">
        <f t="shared" si="1"/>
        <v>-75.85806049819378</v>
      </c>
      <c r="M45" s="2"/>
      <c r="N45" s="2"/>
      <c r="S45" s="2"/>
      <c r="T45" s="2"/>
      <c r="U45" s="2"/>
    </row>
    <row r="46" spans="1:21" x14ac:dyDescent="0.45">
      <c r="A46" t="s">
        <v>49</v>
      </c>
      <c r="B46">
        <v>2009</v>
      </c>
      <c r="C46">
        <v>10.722806397209949</v>
      </c>
      <c r="D46">
        <v>7.5330374746816782</v>
      </c>
      <c r="E46" s="2">
        <f t="shared" si="0"/>
        <v>-29.747519486673205</v>
      </c>
      <c r="F46" s="2"/>
      <c r="G46" s="2"/>
      <c r="H46" t="s">
        <v>49</v>
      </c>
      <c r="I46">
        <v>2009</v>
      </c>
      <c r="J46">
        <v>6.3116650987951957</v>
      </c>
      <c r="K46">
        <v>1.2825714424773333</v>
      </c>
      <c r="L46" s="2">
        <f t="shared" si="1"/>
        <v>-79.679348913456167</v>
      </c>
      <c r="M46" s="2"/>
      <c r="N46" s="2"/>
      <c r="S46" s="2"/>
      <c r="T46" s="2"/>
      <c r="U46" s="2"/>
    </row>
    <row r="47" spans="1:21" x14ac:dyDescent="0.45">
      <c r="A47" t="s">
        <v>51</v>
      </c>
      <c r="B47">
        <v>2009</v>
      </c>
      <c r="C47">
        <v>34.722023931137805</v>
      </c>
      <c r="D47">
        <v>42.601765147624576</v>
      </c>
      <c r="E47" s="2">
        <f t="shared" si="0"/>
        <v>22.693784302764747</v>
      </c>
      <c r="F47" s="2"/>
      <c r="G47" s="2"/>
      <c r="H47" t="s">
        <v>51</v>
      </c>
      <c r="I47">
        <v>2009</v>
      </c>
      <c r="J47">
        <v>4.4695726649586041</v>
      </c>
      <c r="K47">
        <v>1.624845621139958</v>
      </c>
      <c r="L47" s="2">
        <f t="shared" si="1"/>
        <v>-63.646510685938097</v>
      </c>
      <c r="M47" s="2"/>
      <c r="N47" s="2"/>
      <c r="S47" s="2"/>
      <c r="T47" s="2"/>
      <c r="U47" s="2"/>
    </row>
    <row r="48" spans="1:21" x14ac:dyDescent="0.45">
      <c r="A48" t="s">
        <v>53</v>
      </c>
      <c r="B48">
        <v>2009</v>
      </c>
      <c r="C48">
        <v>37.782699507630007</v>
      </c>
      <c r="D48">
        <v>46.815997622911425</v>
      </c>
      <c r="E48" s="2">
        <f t="shared" si="0"/>
        <v>23.908556648942444</v>
      </c>
      <c r="F48" s="2"/>
      <c r="G48" s="2"/>
      <c r="H48" t="s">
        <v>53</v>
      </c>
      <c r="I48">
        <v>2009</v>
      </c>
      <c r="J48">
        <v>4.8086649624212567</v>
      </c>
      <c r="K48">
        <v>2.2315987007838936</v>
      </c>
      <c r="L48" s="2">
        <f t="shared" si="1"/>
        <v>-53.592135900018285</v>
      </c>
      <c r="M48" s="2"/>
      <c r="N48" s="2"/>
      <c r="S48" s="2"/>
      <c r="T48" s="2"/>
      <c r="U48" s="2"/>
    </row>
    <row r="49" spans="1:21" x14ac:dyDescent="0.45">
      <c r="A49" t="s">
        <v>54</v>
      </c>
      <c r="B49">
        <v>2009</v>
      </c>
      <c r="C49">
        <v>42.606767963380094</v>
      </c>
      <c r="D49">
        <v>96.122775523898156</v>
      </c>
      <c r="E49" s="2">
        <f t="shared" si="0"/>
        <v>125.60447581124743</v>
      </c>
      <c r="F49" s="2"/>
      <c r="G49" s="2"/>
      <c r="H49" t="s">
        <v>54</v>
      </c>
      <c r="I49">
        <v>2009</v>
      </c>
      <c r="J49">
        <v>3.5563625226084694</v>
      </c>
      <c r="K49">
        <v>1.4589893659046558</v>
      </c>
      <c r="L49" s="2">
        <f t="shared" si="1"/>
        <v>-58.975235043402229</v>
      </c>
      <c r="M49" s="2"/>
      <c r="N49" s="2"/>
      <c r="S49" s="2"/>
      <c r="T49" s="2"/>
      <c r="U49" s="2"/>
    </row>
    <row r="50" spans="1:21" x14ac:dyDescent="0.45">
      <c r="A50" t="s">
        <v>55</v>
      </c>
      <c r="B50">
        <v>2009</v>
      </c>
      <c r="C50">
        <v>76.509223381516861</v>
      </c>
      <c r="D50">
        <v>74.440082519603038</v>
      </c>
      <c r="E50" s="2">
        <f t="shared" si="0"/>
        <v>-2.7044332310053054</v>
      </c>
      <c r="F50" s="2"/>
      <c r="G50" s="2"/>
      <c r="H50" t="s">
        <v>55</v>
      </c>
      <c r="I50">
        <v>2009</v>
      </c>
      <c r="J50">
        <v>2.6062876678758489</v>
      </c>
      <c r="K50">
        <v>1.0261135164057607</v>
      </c>
      <c r="L50" s="2">
        <f t="shared" si="1"/>
        <v>-60.629307000402846</v>
      </c>
      <c r="M50" s="2"/>
      <c r="N50" s="2"/>
      <c r="S50" s="2"/>
      <c r="T50" s="2"/>
      <c r="U50" s="2"/>
    </row>
    <row r="51" spans="1:21" x14ac:dyDescent="0.45">
      <c r="A51" t="s">
        <v>56</v>
      </c>
      <c r="B51">
        <v>2009</v>
      </c>
      <c r="C51">
        <v>42.639302819125277</v>
      </c>
      <c r="D51">
        <v>18.930576202072327</v>
      </c>
      <c r="E51" s="2">
        <f t="shared" si="0"/>
        <v>-55.602988439151318</v>
      </c>
      <c r="F51" s="2"/>
      <c r="G51" s="2"/>
      <c r="H51" t="s">
        <v>56</v>
      </c>
      <c r="I51">
        <v>2009</v>
      </c>
      <c r="J51">
        <v>0.35923108334062537</v>
      </c>
      <c r="K51">
        <v>0.14941256584218898</v>
      </c>
      <c r="L51" s="2">
        <f t="shared" si="1"/>
        <v>-58.407673285745439</v>
      </c>
      <c r="M51" s="2"/>
      <c r="N51" s="2"/>
      <c r="S51" s="2"/>
      <c r="T51" s="2"/>
      <c r="U51" s="2"/>
    </row>
    <row r="52" spans="1:21" x14ac:dyDescent="0.45">
      <c r="A52" t="s">
        <v>49</v>
      </c>
      <c r="B52">
        <v>2012</v>
      </c>
      <c r="C52">
        <v>27.735110143864659</v>
      </c>
      <c r="D52">
        <v>7.3985837304262745</v>
      </c>
      <c r="E52" s="2">
        <f t="shared" si="0"/>
        <v>-73.324123495276865</v>
      </c>
      <c r="F52" s="2"/>
      <c r="G52" s="2"/>
      <c r="H52" t="s">
        <v>49</v>
      </c>
      <c r="I52">
        <v>2012</v>
      </c>
      <c r="J52">
        <v>6.5451263405005449</v>
      </c>
      <c r="K52">
        <v>0.95160486969713309</v>
      </c>
      <c r="L52" s="2">
        <f t="shared" si="1"/>
        <v>-85.460863240962922</v>
      </c>
      <c r="M52" s="2"/>
      <c r="N52" s="2"/>
      <c r="S52" s="2"/>
      <c r="T52" s="2"/>
      <c r="U52" s="2"/>
    </row>
    <row r="53" spans="1:21" x14ac:dyDescent="0.45">
      <c r="A53" t="s">
        <v>51</v>
      </c>
      <c r="B53">
        <v>2012</v>
      </c>
      <c r="C53">
        <v>41.136680264518581</v>
      </c>
      <c r="D53">
        <v>22.063857427935623</v>
      </c>
      <c r="E53" s="2">
        <f t="shared" si="0"/>
        <v>-46.364516324458364</v>
      </c>
      <c r="F53" s="2"/>
      <c r="G53" s="2"/>
      <c r="H53" t="s">
        <v>51</v>
      </c>
      <c r="I53">
        <v>2012</v>
      </c>
      <c r="J53">
        <v>4.82696885688358</v>
      </c>
      <c r="K53">
        <v>1.3426411852360931</v>
      </c>
      <c r="L53" s="2">
        <f t="shared" si="1"/>
        <v>-72.184589852462025</v>
      </c>
      <c r="M53" s="2"/>
      <c r="N53" s="2"/>
      <c r="S53" s="2"/>
      <c r="T53" s="2"/>
      <c r="U53" s="2"/>
    </row>
    <row r="54" spans="1:21" x14ac:dyDescent="0.45">
      <c r="A54" t="s">
        <v>53</v>
      </c>
      <c r="B54">
        <v>2012</v>
      </c>
      <c r="C54">
        <v>46.489289076012504</v>
      </c>
      <c r="D54">
        <v>36.648964316463058</v>
      </c>
      <c r="E54" s="2">
        <f t="shared" si="0"/>
        <v>-21.166864357637266</v>
      </c>
      <c r="F54" s="2"/>
      <c r="G54" s="2"/>
      <c r="H54" t="s">
        <v>53</v>
      </c>
      <c r="I54">
        <v>2012</v>
      </c>
      <c r="J54">
        <v>4.9204735374416391</v>
      </c>
      <c r="K54">
        <v>1.7328037455423213</v>
      </c>
      <c r="L54" s="2">
        <f t="shared" si="1"/>
        <v>-64.783801145219059</v>
      </c>
      <c r="M54" s="2"/>
      <c r="N54" s="2"/>
      <c r="S54" s="2"/>
      <c r="T54" s="2"/>
      <c r="U54" s="2"/>
    </row>
    <row r="55" spans="1:21" x14ac:dyDescent="0.45">
      <c r="A55" t="s">
        <v>54</v>
      </c>
      <c r="B55">
        <v>2012</v>
      </c>
      <c r="C55">
        <v>54.113034083222956</v>
      </c>
      <c r="D55">
        <v>48.57303316353309</v>
      </c>
      <c r="E55" s="2">
        <f t="shared" si="0"/>
        <v>-10.237830891481046</v>
      </c>
      <c r="F55" s="2"/>
      <c r="G55" s="2"/>
      <c r="H55" t="s">
        <v>54</v>
      </c>
      <c r="I55">
        <v>2012</v>
      </c>
      <c r="J55">
        <v>3.7334258020853821</v>
      </c>
      <c r="K55">
        <v>1.163667497865968</v>
      </c>
      <c r="L55" s="2">
        <f t="shared" si="1"/>
        <v>-68.831106882692652</v>
      </c>
      <c r="M55" s="2"/>
      <c r="N55" s="2"/>
      <c r="S55" s="2"/>
      <c r="T55" s="2"/>
      <c r="U55" s="2"/>
    </row>
    <row r="56" spans="1:21" x14ac:dyDescent="0.45">
      <c r="A56" t="s">
        <v>55</v>
      </c>
      <c r="B56">
        <v>2012</v>
      </c>
      <c r="C56">
        <v>86.184637267408092</v>
      </c>
      <c r="D56">
        <v>121.44166359937616</v>
      </c>
      <c r="E56" s="2">
        <f t="shared" si="0"/>
        <v>40.908713489824009</v>
      </c>
      <c r="F56" s="2"/>
      <c r="G56" s="2"/>
      <c r="H56" t="s">
        <v>55</v>
      </c>
      <c r="I56">
        <v>2012</v>
      </c>
      <c r="J56">
        <v>2.6435470145063262</v>
      </c>
      <c r="K56">
        <v>0.83184120583049759</v>
      </c>
      <c r="L56" s="2">
        <f t="shared" si="1"/>
        <v>-68.533141220269115</v>
      </c>
      <c r="M56" s="2"/>
      <c r="N56" s="2"/>
      <c r="S56" s="2"/>
      <c r="T56" s="2"/>
      <c r="U56" s="2"/>
    </row>
    <row r="57" spans="1:21" x14ac:dyDescent="0.45">
      <c r="A57" t="s">
        <v>56</v>
      </c>
      <c r="B57">
        <v>2012</v>
      </c>
      <c r="C57">
        <v>48.53278616497321</v>
      </c>
      <c r="D57">
        <v>35.014823304817916</v>
      </c>
      <c r="E57" s="2">
        <f t="shared" si="0"/>
        <v>-27.853259473307133</v>
      </c>
      <c r="F57" s="2"/>
      <c r="G57" s="2"/>
      <c r="H57" t="s">
        <v>56</v>
      </c>
      <c r="I57">
        <v>2012</v>
      </c>
      <c r="J57">
        <v>0.36518244858252791</v>
      </c>
      <c r="K57">
        <v>9.0193919924887428E-2</v>
      </c>
      <c r="L57" s="2">
        <f t="shared" si="1"/>
        <v>-75.30168268629032</v>
      </c>
      <c r="M57" s="2"/>
      <c r="N57" s="2"/>
      <c r="S57" s="2"/>
      <c r="T57" s="2"/>
      <c r="U57" s="2"/>
    </row>
    <row r="58" spans="1:21" x14ac:dyDescent="0.45">
      <c r="A58" t="s">
        <v>49</v>
      </c>
      <c r="B58">
        <v>2015</v>
      </c>
      <c r="C58">
        <v>30.558347555880744</v>
      </c>
      <c r="D58">
        <v>6.5558361685324247</v>
      </c>
      <c r="E58" s="2">
        <f t="shared" si="0"/>
        <v>-78.546496480072932</v>
      </c>
      <c r="F58" s="2"/>
      <c r="G58" s="2"/>
      <c r="H58" t="s">
        <v>49</v>
      </c>
      <c r="I58">
        <v>2015</v>
      </c>
      <c r="J58">
        <v>7.1149667648572406</v>
      </c>
      <c r="K58">
        <v>0.9859239284391107</v>
      </c>
      <c r="L58" s="2">
        <f t="shared" si="1"/>
        <v>-86.142958062589159</v>
      </c>
      <c r="M58" s="2"/>
      <c r="N58" s="2"/>
      <c r="S58" s="2"/>
      <c r="T58" s="2"/>
      <c r="U58" s="2"/>
    </row>
    <row r="59" spans="1:21" x14ac:dyDescent="0.45">
      <c r="A59" t="s">
        <v>51</v>
      </c>
      <c r="B59">
        <v>2015</v>
      </c>
      <c r="C59">
        <v>42.481923619400007</v>
      </c>
      <c r="D59">
        <v>29.014425674683196</v>
      </c>
      <c r="E59" s="2">
        <f t="shared" si="0"/>
        <v>-31.701714040478798</v>
      </c>
      <c r="F59" s="2"/>
      <c r="G59" s="2"/>
      <c r="H59" t="s">
        <v>51</v>
      </c>
      <c r="I59">
        <v>2015</v>
      </c>
      <c r="J59">
        <v>5.1433945393163212</v>
      </c>
      <c r="K59">
        <v>1.5245000769021166</v>
      </c>
      <c r="L59" s="2">
        <f t="shared" si="1"/>
        <v>-70.360040139857546</v>
      </c>
      <c r="M59" s="2"/>
      <c r="N59" s="2"/>
      <c r="S59" s="2"/>
      <c r="T59" s="2"/>
      <c r="U59" s="2"/>
    </row>
    <row r="60" spans="1:21" x14ac:dyDescent="0.45">
      <c r="A60" t="s">
        <v>53</v>
      </c>
      <c r="B60">
        <v>2015</v>
      </c>
      <c r="C60">
        <v>49.748135076284655</v>
      </c>
      <c r="D60">
        <v>56.764535187992742</v>
      </c>
      <c r="E60" s="2">
        <f t="shared" si="0"/>
        <v>14.10384550284954</v>
      </c>
      <c r="F60" s="2"/>
      <c r="G60" s="2"/>
      <c r="H60" t="s">
        <v>53</v>
      </c>
      <c r="I60">
        <v>2015</v>
      </c>
      <c r="J60">
        <v>5.1952187242046106</v>
      </c>
      <c r="K60">
        <v>1.857678910045389</v>
      </c>
      <c r="L60" s="2">
        <f t="shared" si="1"/>
        <v>-64.242527434111054</v>
      </c>
      <c r="M60" s="2"/>
      <c r="N60" s="2"/>
      <c r="S60" s="2"/>
      <c r="T60" s="2"/>
      <c r="U60" s="2"/>
    </row>
    <row r="61" spans="1:21" x14ac:dyDescent="0.45">
      <c r="A61" t="s">
        <v>54</v>
      </c>
      <c r="B61">
        <v>2015</v>
      </c>
      <c r="C61">
        <v>62.400097811245367</v>
      </c>
      <c r="D61">
        <v>85.93254662824279</v>
      </c>
      <c r="E61" s="2">
        <f t="shared" si="0"/>
        <v>37.712198606131906</v>
      </c>
      <c r="F61" s="2"/>
      <c r="G61" s="2"/>
      <c r="H61" t="s">
        <v>54</v>
      </c>
      <c r="I61">
        <v>2015</v>
      </c>
      <c r="J61">
        <v>4.0519379515212819</v>
      </c>
      <c r="K61">
        <v>1.5491618559181923</v>
      </c>
      <c r="L61" s="2">
        <f t="shared" si="1"/>
        <v>-61.767384534193909</v>
      </c>
      <c r="M61" s="2"/>
      <c r="N61" s="2"/>
      <c r="S61" s="2"/>
      <c r="T61" s="2"/>
      <c r="U61" s="2"/>
    </row>
    <row r="62" spans="1:21" x14ac:dyDescent="0.45">
      <c r="A62" t="s">
        <v>55</v>
      </c>
      <c r="B62">
        <v>2015</v>
      </c>
      <c r="C62">
        <v>94.815949829114913</v>
      </c>
      <c r="D62">
        <v>84.339850942166564</v>
      </c>
      <c r="E62" s="2">
        <f t="shared" si="0"/>
        <v>-11.048878280320174</v>
      </c>
      <c r="F62" s="2"/>
      <c r="G62" s="2"/>
      <c r="H62" t="s">
        <v>55</v>
      </c>
      <c r="I62">
        <v>2015</v>
      </c>
      <c r="J62">
        <v>2.8399668654954264</v>
      </c>
      <c r="K62">
        <v>0.8841543768718676</v>
      </c>
      <c r="L62" s="2">
        <f t="shared" si="1"/>
        <v>-68.867440405237659</v>
      </c>
      <c r="M62" s="2"/>
      <c r="N62" s="2"/>
      <c r="S62" s="2"/>
      <c r="T62" s="2"/>
      <c r="U62" s="2"/>
    </row>
    <row r="63" spans="1:21" x14ac:dyDescent="0.45">
      <c r="A63" t="s">
        <v>56</v>
      </c>
      <c r="B63">
        <v>2015</v>
      </c>
      <c r="C63">
        <v>51.809845108074306</v>
      </c>
      <c r="D63">
        <v>21.519396502931141</v>
      </c>
      <c r="E63" s="2">
        <f t="shared" si="0"/>
        <v>-58.464657715069194</v>
      </c>
      <c r="F63" s="2"/>
      <c r="G63" s="2"/>
      <c r="H63" t="s">
        <v>56</v>
      </c>
      <c r="I63">
        <v>2015</v>
      </c>
      <c r="J63">
        <v>0.38144415460511882</v>
      </c>
      <c r="K63">
        <v>0.33835437866342327</v>
      </c>
      <c r="L63" s="2">
        <f t="shared" si="1"/>
        <v>-11.29648348820635</v>
      </c>
      <c r="M63" s="2"/>
      <c r="N63" s="2"/>
      <c r="S63" s="2"/>
      <c r="T63" s="2"/>
      <c r="U63" s="2"/>
    </row>
    <row r="66" spans="1:1" x14ac:dyDescent="0.45">
      <c r="A66" t="s">
        <v>201</v>
      </c>
    </row>
  </sheetData>
  <mergeCells count="11">
    <mergeCell ref="A1:E1"/>
    <mergeCell ref="H1:L1"/>
    <mergeCell ref="O1:S1"/>
    <mergeCell ref="V1:Z1"/>
    <mergeCell ref="AD1:AH1"/>
    <mergeCell ref="AD2:AH2"/>
    <mergeCell ref="O2:S2"/>
    <mergeCell ref="V2:Z2"/>
    <mergeCell ref="A2:E2"/>
    <mergeCell ref="H2:L2"/>
    <mergeCell ref="AA2:AB2"/>
  </mergeCells>
  <pageMargins left="0.7" right="0.7" top="0.75" bottom="0.75" header="0.3" footer="0.3"/>
  <pageSetup orientation="portrait" horizontalDpi="4294967295" verticalDpi="4294967295" r:id="rId1"/>
  <ignoredErrors>
    <ignoredError sqref="Q4:R23 X4:Y23" formulaRange="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28"/>
  <sheetViews>
    <sheetView topLeftCell="M1" zoomScaleNormal="100" workbookViewId="0">
      <selection sqref="A1:K1"/>
    </sheetView>
  </sheetViews>
  <sheetFormatPr defaultRowHeight="14.25" x14ac:dyDescent="0.45"/>
  <cols>
    <col min="1" max="8" width="8.3984375"/>
    <col min="9" max="9" width="16.1328125" bestFit="1" customWidth="1"/>
    <col min="10" max="10" width="16.1328125" customWidth="1"/>
    <col min="11" max="11" width="16.59765625" customWidth="1"/>
    <col min="12" max="12" width="16.86328125" bestFit="1" customWidth="1"/>
    <col min="13" max="13" width="8.3984375"/>
    <col min="14" max="15" width="16.1328125" bestFit="1" customWidth="1"/>
    <col min="16" max="16" width="16.59765625" bestFit="1" customWidth="1"/>
    <col min="17" max="17" width="16.86328125" bestFit="1" customWidth="1"/>
    <col min="18" max="18" width="12.59765625" bestFit="1" customWidth="1"/>
    <col min="19" max="19" width="14.3984375" bestFit="1" customWidth="1"/>
    <col min="20" max="1025" width="8.3984375"/>
  </cols>
  <sheetData>
    <row r="1" spans="1:19" x14ac:dyDescent="0.45">
      <c r="A1" s="92" t="s">
        <v>14</v>
      </c>
      <c r="B1" s="92"/>
      <c r="C1" s="92"/>
      <c r="D1" s="92"/>
      <c r="E1" s="92"/>
      <c r="F1" s="92"/>
      <c r="G1" s="92"/>
      <c r="H1" s="92"/>
      <c r="I1" s="92"/>
      <c r="J1" s="92"/>
      <c r="K1" s="92"/>
      <c r="M1" t="s">
        <v>2</v>
      </c>
      <c r="N1" t="s">
        <v>164</v>
      </c>
      <c r="O1" t="s">
        <v>59</v>
      </c>
      <c r="P1" t="s">
        <v>60</v>
      </c>
      <c r="Q1" t="s">
        <v>61</v>
      </c>
      <c r="R1" t="s">
        <v>189</v>
      </c>
      <c r="S1" t="s">
        <v>190</v>
      </c>
    </row>
    <row r="2" spans="1:19" x14ac:dyDescent="0.45">
      <c r="A2" t="s">
        <v>48</v>
      </c>
      <c r="B2" t="s">
        <v>2</v>
      </c>
      <c r="C2" t="s">
        <v>3</v>
      </c>
      <c r="D2" t="s">
        <v>4</v>
      </c>
      <c r="E2" s="1" t="s">
        <v>5</v>
      </c>
      <c r="G2" t="s">
        <v>48</v>
      </c>
      <c r="H2" t="s">
        <v>2</v>
      </c>
      <c r="I2" s="22" t="s">
        <v>3</v>
      </c>
      <c r="J2" s="22" t="s">
        <v>4</v>
      </c>
      <c r="K2" s="1" t="s">
        <v>5</v>
      </c>
      <c r="M2">
        <v>2003</v>
      </c>
      <c r="N2" s="2">
        <f>I3</f>
        <v>0.88788485473435097</v>
      </c>
      <c r="O2" s="2">
        <f>I4</f>
        <v>101.80202831875199</v>
      </c>
      <c r="P2" s="2">
        <f>J3</f>
        <v>49.177941280277402</v>
      </c>
      <c r="Q2" s="2">
        <f>J4</f>
        <v>399.13890590396699</v>
      </c>
      <c r="R2" s="2">
        <f>Q2/O2</f>
        <v>3.9207362809533075</v>
      </c>
      <c r="S2" s="2">
        <f>P2/N2</f>
        <v>55.387746528226458</v>
      </c>
    </row>
    <row r="3" spans="1:19" x14ac:dyDescent="0.45">
      <c r="A3" t="s">
        <v>49</v>
      </c>
      <c r="B3">
        <v>2003</v>
      </c>
      <c r="C3" s="2">
        <v>-6.4310582205989801</v>
      </c>
      <c r="D3" s="2">
        <v>5.4030079846676804</v>
      </c>
      <c r="E3" s="2">
        <f t="shared" ref="E3:E26" si="0">100*(D3-C3)/C3</f>
        <v>-184.01429126176455</v>
      </c>
      <c r="G3" t="s">
        <v>50</v>
      </c>
      <c r="H3">
        <v>2003</v>
      </c>
      <c r="I3">
        <v>0.88788485473435097</v>
      </c>
      <c r="J3">
        <v>49.177941280277402</v>
      </c>
      <c r="K3" s="2">
        <f t="shared" ref="K3:K10" si="1">100*(J3-I3)/I3</f>
        <v>5438.7746528226462</v>
      </c>
      <c r="M3">
        <f>M2+3</f>
        <v>2006</v>
      </c>
      <c r="N3" s="2">
        <f>I5</f>
        <v>3.3462180941517499</v>
      </c>
      <c r="O3" s="2">
        <f>I6</f>
        <v>149.47968050132201</v>
      </c>
      <c r="P3" s="2">
        <f>J5</f>
        <v>41.833930450947399</v>
      </c>
      <c r="Q3" s="2">
        <f>J6</f>
        <v>449.18224107952398</v>
      </c>
      <c r="R3" s="2">
        <f t="shared" ref="R3:R5" si="2">Q3/O3</f>
        <v>3.0049719103831731</v>
      </c>
      <c r="S3" s="2">
        <f t="shared" ref="S3:S5" si="3">P3/N3</f>
        <v>12.501854115265639</v>
      </c>
    </row>
    <row r="4" spans="1:19" x14ac:dyDescent="0.45">
      <c r="A4" t="s">
        <v>51</v>
      </c>
      <c r="B4">
        <v>2003</v>
      </c>
      <c r="C4" s="2">
        <v>8.2068279300676803</v>
      </c>
      <c r="D4" s="2">
        <v>80.298599191591904</v>
      </c>
      <c r="E4" s="2">
        <f t="shared" si="0"/>
        <v>878.43649063725036</v>
      </c>
      <c r="G4" t="s">
        <v>52</v>
      </c>
      <c r="H4">
        <v>2003</v>
      </c>
      <c r="I4">
        <v>101.80202831875199</v>
      </c>
      <c r="J4">
        <v>399.13890590396699</v>
      </c>
      <c r="K4" s="2">
        <f t="shared" si="1"/>
        <v>292.07362809533078</v>
      </c>
      <c r="M4">
        <f>M3+3</f>
        <v>2009</v>
      </c>
      <c r="N4" s="2">
        <f>I7</f>
        <v>-1.3357734748871699</v>
      </c>
      <c r="O4" s="2">
        <f>I8</f>
        <v>109.229690333394</v>
      </c>
      <c r="P4" s="2">
        <f>J7</f>
        <v>16.634372363064202</v>
      </c>
      <c r="Q4" s="2">
        <f>J8</f>
        <v>457.64040385634399</v>
      </c>
      <c r="R4" s="2">
        <f t="shared" si="2"/>
        <v>4.1897070518054278</v>
      </c>
      <c r="S4" s="2">
        <f t="shared" si="3"/>
        <v>-12.452988980387767</v>
      </c>
    </row>
    <row r="5" spans="1:19" x14ac:dyDescent="0.45">
      <c r="A5" t="s">
        <v>53</v>
      </c>
      <c r="B5">
        <v>2003</v>
      </c>
      <c r="C5" s="2">
        <v>28.171226777183101</v>
      </c>
      <c r="D5" s="2">
        <v>117.364552856318</v>
      </c>
      <c r="E5" s="2">
        <f t="shared" si="0"/>
        <v>316.61143756570732</v>
      </c>
      <c r="G5" t="s">
        <v>50</v>
      </c>
      <c r="H5">
        <v>2006</v>
      </c>
      <c r="I5">
        <v>3.3462180941517499</v>
      </c>
      <c r="J5">
        <v>41.833930450947399</v>
      </c>
      <c r="K5" s="2">
        <f t="shared" si="1"/>
        <v>1150.1854115265639</v>
      </c>
      <c r="M5">
        <f>M4+3</f>
        <v>2012</v>
      </c>
      <c r="N5" s="2">
        <f>I9</f>
        <v>3.5671526096695998</v>
      </c>
      <c r="O5" s="2">
        <f>I10</f>
        <v>176.36939880026199</v>
      </c>
      <c r="P5" s="2">
        <f>J9</f>
        <v>26.366156952325198</v>
      </c>
      <c r="Q5" s="2">
        <f>J10</f>
        <v>363.47952038305198</v>
      </c>
      <c r="R5" s="2">
        <f t="shared" si="2"/>
        <v>2.0608990156772711</v>
      </c>
      <c r="S5" s="2">
        <f t="shared" si="3"/>
        <v>7.3913734110656142</v>
      </c>
    </row>
    <row r="6" spans="1:19" x14ac:dyDescent="0.45">
      <c r="A6" t="s">
        <v>54</v>
      </c>
      <c r="B6">
        <v>2003</v>
      </c>
      <c r="C6" s="2">
        <v>69.673040970753306</v>
      </c>
      <c r="D6" s="2">
        <v>284.45056707409799</v>
      </c>
      <c r="E6" s="2">
        <f t="shared" si="0"/>
        <v>308.26489429893257</v>
      </c>
      <c r="G6" t="s">
        <v>52</v>
      </c>
      <c r="H6">
        <v>2006</v>
      </c>
      <c r="I6">
        <v>149.47968050132201</v>
      </c>
      <c r="J6">
        <v>449.18224107952398</v>
      </c>
      <c r="K6" s="2">
        <f t="shared" si="1"/>
        <v>200.49719103831734</v>
      </c>
    </row>
    <row r="7" spans="1:19" x14ac:dyDescent="0.45">
      <c r="A7" t="s">
        <v>55</v>
      </c>
      <c r="B7">
        <v>2003</v>
      </c>
      <c r="C7" s="2">
        <v>221.15729791125099</v>
      </c>
      <c r="D7" s="2">
        <v>1069.0533317161501</v>
      </c>
      <c r="E7" s="2">
        <f t="shared" si="0"/>
        <v>383.39048352144107</v>
      </c>
      <c r="G7" t="s">
        <v>50</v>
      </c>
      <c r="H7">
        <v>2009</v>
      </c>
      <c r="I7">
        <v>-1.3357734748871699</v>
      </c>
      <c r="J7">
        <v>16.634372363064202</v>
      </c>
      <c r="K7" s="2">
        <f t="shared" si="1"/>
        <v>-1345.2988980387765</v>
      </c>
    </row>
    <row r="8" spans="1:19" x14ac:dyDescent="0.45">
      <c r="A8" t="s">
        <v>56</v>
      </c>
      <c r="B8">
        <v>2003</v>
      </c>
      <c r="C8" s="2">
        <v>1350.30945074545</v>
      </c>
      <c r="D8" s="2">
        <v>4315.4687576427596</v>
      </c>
      <c r="E8" s="2">
        <f t="shared" si="0"/>
        <v>219.59109486054237</v>
      </c>
      <c r="G8" t="s">
        <v>52</v>
      </c>
      <c r="H8">
        <v>2009</v>
      </c>
      <c r="I8">
        <v>109.229690333394</v>
      </c>
      <c r="J8">
        <v>457.64040385634399</v>
      </c>
      <c r="K8" s="2">
        <f t="shared" si="1"/>
        <v>318.97070518054278</v>
      </c>
    </row>
    <row r="9" spans="1:19" x14ac:dyDescent="0.45">
      <c r="A9" t="s">
        <v>49</v>
      </c>
      <c r="B9">
        <v>2006</v>
      </c>
      <c r="C9" s="2">
        <v>-5.4357802362648302</v>
      </c>
      <c r="D9" s="2">
        <v>4.4128925229923901</v>
      </c>
      <c r="E9" s="2">
        <f t="shared" si="0"/>
        <v>-181.18232031441886</v>
      </c>
      <c r="G9" t="s">
        <v>50</v>
      </c>
      <c r="H9">
        <v>2012</v>
      </c>
      <c r="I9">
        <v>3.5671526096695998</v>
      </c>
      <c r="J9">
        <v>26.366156952325198</v>
      </c>
      <c r="K9" s="2">
        <f t="shared" si="1"/>
        <v>639.13734110656139</v>
      </c>
    </row>
    <row r="10" spans="1:19" x14ac:dyDescent="0.45">
      <c r="A10" t="s">
        <v>51</v>
      </c>
      <c r="B10">
        <v>2006</v>
      </c>
      <c r="C10" s="2">
        <v>12.128216424568301</v>
      </c>
      <c r="D10" s="2">
        <v>64.140233183872596</v>
      </c>
      <c r="E10" s="2">
        <f t="shared" si="0"/>
        <v>428.85132437068665</v>
      </c>
      <c r="G10" t="s">
        <v>52</v>
      </c>
      <c r="H10">
        <v>2012</v>
      </c>
      <c r="I10">
        <v>176.36939880026199</v>
      </c>
      <c r="J10">
        <v>363.47952038305198</v>
      </c>
      <c r="K10" s="2">
        <f t="shared" si="1"/>
        <v>106.08990156772708</v>
      </c>
    </row>
    <row r="11" spans="1:19" x14ac:dyDescent="0.45">
      <c r="A11" t="s">
        <v>53</v>
      </c>
      <c r="B11">
        <v>2006</v>
      </c>
      <c r="C11" s="2">
        <v>34.966675270073402</v>
      </c>
      <c r="D11" s="2">
        <v>118.35066210209</v>
      </c>
      <c r="E11" s="2">
        <f t="shared" si="0"/>
        <v>238.46701520227651</v>
      </c>
    </row>
    <row r="12" spans="1:19" x14ac:dyDescent="0.45">
      <c r="A12" t="s">
        <v>54</v>
      </c>
      <c r="B12">
        <v>2006</v>
      </c>
      <c r="C12" s="2">
        <v>101.396276971578</v>
      </c>
      <c r="D12" s="2">
        <v>502.93479125840798</v>
      </c>
      <c r="E12" s="2">
        <f t="shared" si="0"/>
        <v>396.0091299993033</v>
      </c>
    </row>
    <row r="13" spans="1:19" x14ac:dyDescent="0.45">
      <c r="A13" t="s">
        <v>55</v>
      </c>
      <c r="B13">
        <v>2006</v>
      </c>
      <c r="C13" s="2">
        <v>358.71748448327799</v>
      </c>
      <c r="D13" s="2">
        <v>1612.90156955671</v>
      </c>
      <c r="E13" s="2">
        <f t="shared" si="0"/>
        <v>349.63004016379278</v>
      </c>
    </row>
    <row r="14" spans="1:19" x14ac:dyDescent="0.45">
      <c r="A14" t="s">
        <v>56</v>
      </c>
      <c r="B14">
        <v>2006</v>
      </c>
      <c r="C14" s="2">
        <v>1850.41562839111</v>
      </c>
      <c r="D14" s="2">
        <v>6715.7460212567103</v>
      </c>
      <c r="E14" s="2">
        <f t="shared" si="0"/>
        <v>262.93176074695623</v>
      </c>
    </row>
    <row r="15" spans="1:19" x14ac:dyDescent="0.45">
      <c r="A15" t="s">
        <v>49</v>
      </c>
      <c r="B15">
        <v>2009</v>
      </c>
      <c r="C15" s="2">
        <v>-10.463961883388601</v>
      </c>
      <c r="D15" s="2">
        <v>1.1341104426194399</v>
      </c>
      <c r="E15" s="2">
        <f t="shared" si="0"/>
        <v>-110.83825089634382</v>
      </c>
    </row>
    <row r="16" spans="1:19" x14ac:dyDescent="0.45">
      <c r="A16" t="s">
        <v>51</v>
      </c>
      <c r="B16">
        <v>2009</v>
      </c>
      <c r="C16" s="2">
        <v>7.7924149336142703</v>
      </c>
      <c r="D16" s="2">
        <v>24.3345965653997</v>
      </c>
      <c r="E16" s="2">
        <f t="shared" si="0"/>
        <v>212.28568771956873</v>
      </c>
    </row>
    <row r="17" spans="1:5" x14ac:dyDescent="0.45">
      <c r="A17" t="s">
        <v>53</v>
      </c>
      <c r="B17">
        <v>2009</v>
      </c>
      <c r="C17" s="2">
        <v>27.1488330278445</v>
      </c>
      <c r="D17" s="2">
        <v>89.008271967860907</v>
      </c>
      <c r="E17" s="2">
        <f t="shared" si="0"/>
        <v>227.85303101820941</v>
      </c>
    </row>
    <row r="18" spans="1:5" x14ac:dyDescent="0.45">
      <c r="A18" t="s">
        <v>54</v>
      </c>
      <c r="B18">
        <v>2009</v>
      </c>
      <c r="C18" s="2">
        <v>73.388871581813305</v>
      </c>
      <c r="D18" s="2">
        <v>290.65849284999598</v>
      </c>
      <c r="E18" s="2">
        <f t="shared" si="0"/>
        <v>296.05254391460738</v>
      </c>
    </row>
    <row r="19" spans="1:5" x14ac:dyDescent="0.45">
      <c r="A19" t="s">
        <v>55</v>
      </c>
      <c r="B19">
        <v>2009</v>
      </c>
      <c r="C19" s="2">
        <v>239.686764988748</v>
      </c>
      <c r="D19" s="2">
        <v>1728.81389369933</v>
      </c>
      <c r="E19" s="2">
        <f t="shared" si="0"/>
        <v>621.28049864600928</v>
      </c>
    </row>
    <row r="20" spans="1:5" x14ac:dyDescent="0.45">
      <c r="A20" t="s">
        <v>56</v>
      </c>
      <c r="B20">
        <v>2009</v>
      </c>
      <c r="C20" s="2">
        <v>1524.74973234764</v>
      </c>
      <c r="D20" s="2">
        <v>5038.6862331597904</v>
      </c>
      <c r="E20" s="2">
        <f t="shared" si="0"/>
        <v>230.45988638422529</v>
      </c>
    </row>
    <row r="21" spans="1:5" x14ac:dyDescent="0.45">
      <c r="A21" t="s">
        <v>49</v>
      </c>
      <c r="B21">
        <v>2012</v>
      </c>
      <c r="C21" s="2">
        <v>-2.9469697255737</v>
      </c>
      <c r="D21" s="2">
        <v>2.11601652792729</v>
      </c>
      <c r="E21" s="2">
        <f t="shared" si="0"/>
        <v>-171.80313084198227</v>
      </c>
    </row>
    <row r="22" spans="1:5" x14ac:dyDescent="0.45">
      <c r="A22" t="s">
        <v>51</v>
      </c>
      <c r="B22">
        <v>2012</v>
      </c>
      <c r="C22" s="2">
        <v>10.0812749449129</v>
      </c>
      <c r="D22" s="2">
        <v>40.192114252011699</v>
      </c>
      <c r="E22" s="2">
        <f t="shared" si="0"/>
        <v>298.68086597809724</v>
      </c>
    </row>
    <row r="23" spans="1:5" x14ac:dyDescent="0.45">
      <c r="A23" t="s">
        <v>53</v>
      </c>
      <c r="B23">
        <v>2012</v>
      </c>
      <c r="C23" s="2">
        <v>30.311015221713301</v>
      </c>
      <c r="D23" s="2">
        <v>82.326842401279094</v>
      </c>
      <c r="E23" s="2">
        <f t="shared" si="0"/>
        <v>171.60701084767442</v>
      </c>
    </row>
    <row r="24" spans="1:5" x14ac:dyDescent="0.45">
      <c r="A24" t="s">
        <v>54</v>
      </c>
      <c r="B24">
        <v>2012</v>
      </c>
      <c r="C24" s="2">
        <v>113.088738880408</v>
      </c>
      <c r="D24" s="2">
        <v>271.86366906474598</v>
      </c>
      <c r="E24" s="2">
        <f t="shared" si="0"/>
        <v>140.39853283026116</v>
      </c>
    </row>
    <row r="25" spans="1:5" x14ac:dyDescent="0.45">
      <c r="A25" t="s">
        <v>55</v>
      </c>
      <c r="B25">
        <v>2012</v>
      </c>
      <c r="C25" s="2">
        <v>416.60289081367</v>
      </c>
      <c r="D25" s="2">
        <v>956.98329476335198</v>
      </c>
      <c r="E25" s="2">
        <f t="shared" si="0"/>
        <v>129.71115080220909</v>
      </c>
    </row>
    <row r="26" spans="1:5" x14ac:dyDescent="0.45">
      <c r="A26" t="s">
        <v>56</v>
      </c>
      <c r="B26">
        <v>2012</v>
      </c>
      <c r="C26" s="2">
        <v>2614.93745894112</v>
      </c>
      <c r="D26" s="2">
        <v>3644.6871882229998</v>
      </c>
      <c r="E26" s="2">
        <f t="shared" si="0"/>
        <v>39.379516544876054</v>
      </c>
    </row>
    <row r="28" spans="1:5" x14ac:dyDescent="0.45">
      <c r="A28" t="s">
        <v>33</v>
      </c>
    </row>
  </sheetData>
  <mergeCells count="1">
    <mergeCell ref="A1:K1"/>
  </mergeCells>
  <pageMargins left="0.7" right="0.7" top="0.75" bottom="0.75" header="0.51180555555555496" footer="0.51180555555555496"/>
  <pageSetup firstPageNumber="0" orientation="portrait" horizontalDpi="4294967295" verticalDpi="4294967295"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S35"/>
  <sheetViews>
    <sheetView zoomScaleNormal="100" workbookViewId="0">
      <selection activeCell="C46" sqref="C46"/>
    </sheetView>
  </sheetViews>
  <sheetFormatPr defaultRowHeight="14.25" x14ac:dyDescent="0.45"/>
  <cols>
    <col min="1" max="1" width="14"/>
    <col min="2" max="2" width="11.59765625"/>
    <col min="3" max="3" width="17.86328125"/>
    <col min="4" max="4" width="13"/>
    <col min="5" max="1025" width="8.3984375"/>
  </cols>
  <sheetData>
    <row r="1" spans="1:19" ht="18" x14ac:dyDescent="0.55000000000000004">
      <c r="A1" s="23" t="s">
        <v>62</v>
      </c>
      <c r="C1" s="24"/>
      <c r="D1" s="24"/>
      <c r="E1" s="24"/>
      <c r="F1" s="24"/>
      <c r="G1" s="24"/>
      <c r="H1" s="24"/>
      <c r="I1" s="24"/>
      <c r="J1" s="24"/>
      <c r="K1" s="24"/>
      <c r="L1" s="24"/>
      <c r="M1" s="24"/>
      <c r="N1" s="24"/>
      <c r="O1" s="24"/>
      <c r="P1" s="24"/>
      <c r="Q1" s="24"/>
      <c r="R1" s="24"/>
      <c r="S1" s="24"/>
    </row>
    <row r="2" spans="1:19" x14ac:dyDescent="0.45">
      <c r="B2" s="92" t="s">
        <v>12</v>
      </c>
      <c r="C2" s="92"/>
      <c r="D2" s="92"/>
      <c r="E2" s="92"/>
      <c r="F2" s="92"/>
      <c r="G2" s="92"/>
      <c r="H2" s="92"/>
      <c r="I2" s="92"/>
      <c r="J2" s="92"/>
      <c r="K2" s="92"/>
      <c r="L2" s="92"/>
      <c r="M2" s="92"/>
      <c r="N2" s="92"/>
      <c r="O2" s="92"/>
      <c r="P2" s="92"/>
      <c r="Q2" s="92"/>
      <c r="R2" s="92"/>
      <c r="S2" s="92"/>
    </row>
    <row r="3" spans="1:19" ht="42.75" x14ac:dyDescent="0.45">
      <c r="A3" t="s">
        <v>2</v>
      </c>
      <c r="B3" s="4" t="s">
        <v>63</v>
      </c>
      <c r="C3" s="4" t="s">
        <v>64</v>
      </c>
      <c r="D3" s="25" t="s">
        <v>65</v>
      </c>
      <c r="G3" s="1"/>
      <c r="J3" s="1"/>
      <c r="M3" s="1"/>
      <c r="P3" s="1"/>
      <c r="S3" s="1"/>
    </row>
    <row r="4" spans="1:19" x14ac:dyDescent="0.45">
      <c r="A4">
        <v>1988</v>
      </c>
      <c r="B4" s="2">
        <v>31.554544896763101</v>
      </c>
      <c r="C4" s="2">
        <v>48.5474486367875</v>
      </c>
      <c r="D4" s="2">
        <f>B4-C4</f>
        <v>-16.992903740024399</v>
      </c>
      <c r="N4" s="26"/>
      <c r="O4" s="26"/>
      <c r="Q4" s="26"/>
      <c r="R4" s="26"/>
    </row>
    <row r="5" spans="1:19" x14ac:dyDescent="0.45">
      <c r="A5">
        <v>1989</v>
      </c>
      <c r="B5" s="2"/>
      <c r="C5" s="2"/>
      <c r="D5" s="2"/>
      <c r="N5" s="26"/>
      <c r="O5" s="26"/>
      <c r="Q5" s="26"/>
    </row>
    <row r="6" spans="1:19" x14ac:dyDescent="0.45">
      <c r="A6">
        <v>1990</v>
      </c>
      <c r="B6" s="2"/>
      <c r="C6" s="2"/>
      <c r="D6" s="2"/>
      <c r="N6" s="26"/>
      <c r="O6" s="26"/>
      <c r="Q6" s="26"/>
    </row>
    <row r="7" spans="1:19" x14ac:dyDescent="0.45">
      <c r="A7">
        <v>1991</v>
      </c>
      <c r="B7" s="2">
        <v>28.963002674354101</v>
      </c>
      <c r="C7" s="2">
        <v>56.615880218508799</v>
      </c>
      <c r="D7" s="2">
        <f>B7-C7</f>
        <v>-27.652877544154698</v>
      </c>
      <c r="N7" s="26"/>
      <c r="O7" s="26"/>
      <c r="Q7" s="26"/>
      <c r="R7" s="26"/>
    </row>
    <row r="8" spans="1:19" x14ac:dyDescent="0.45">
      <c r="A8">
        <v>1992</v>
      </c>
      <c r="B8" s="2"/>
      <c r="C8" s="2"/>
      <c r="D8" s="2"/>
      <c r="N8" s="26"/>
      <c r="O8" s="26"/>
      <c r="Q8" s="26"/>
    </row>
    <row r="9" spans="1:19" x14ac:dyDescent="0.45">
      <c r="A9">
        <v>1993</v>
      </c>
      <c r="B9" s="2"/>
      <c r="C9" s="2"/>
      <c r="D9" s="2"/>
      <c r="N9" s="26"/>
      <c r="O9" s="26"/>
      <c r="Q9" s="26"/>
    </row>
    <row r="10" spans="1:19" x14ac:dyDescent="0.45">
      <c r="A10">
        <v>1994</v>
      </c>
      <c r="B10" s="2">
        <v>22.318911752424601</v>
      </c>
      <c r="C10" s="2">
        <v>55.139001203035299</v>
      </c>
      <c r="D10" s="2">
        <f>B10-C10</f>
        <v>-32.820089450610695</v>
      </c>
      <c r="N10" s="26"/>
      <c r="O10" s="26"/>
      <c r="Q10" s="26"/>
      <c r="R10" s="26"/>
    </row>
    <row r="11" spans="1:19" x14ac:dyDescent="0.45">
      <c r="A11">
        <v>1995</v>
      </c>
      <c r="B11" s="2"/>
      <c r="C11" s="2"/>
      <c r="D11" s="2"/>
      <c r="N11" s="26"/>
      <c r="O11" s="26"/>
      <c r="Q11" s="26"/>
    </row>
    <row r="12" spans="1:19" x14ac:dyDescent="0.45">
      <c r="A12">
        <v>1996</v>
      </c>
      <c r="B12" s="2"/>
      <c r="C12" s="2"/>
      <c r="D12" s="2"/>
      <c r="N12" s="26"/>
      <c r="O12" s="26"/>
      <c r="Q12" s="26"/>
    </row>
    <row r="13" spans="1:19" x14ac:dyDescent="0.45">
      <c r="A13">
        <v>1997</v>
      </c>
      <c r="B13" s="2">
        <v>43.1903329263153</v>
      </c>
      <c r="C13" s="2">
        <v>81.481610421792993</v>
      </c>
      <c r="D13" s="2">
        <f>B13-C13</f>
        <v>-38.291277495477694</v>
      </c>
      <c r="N13" s="26"/>
      <c r="O13" s="26"/>
      <c r="Q13" s="26"/>
      <c r="R13" s="26"/>
    </row>
    <row r="14" spans="1:19" x14ac:dyDescent="0.45">
      <c r="A14">
        <v>1998</v>
      </c>
      <c r="B14" s="2"/>
      <c r="C14" s="2"/>
      <c r="D14" s="2"/>
      <c r="N14" s="26"/>
      <c r="O14" s="26"/>
      <c r="Q14" s="26"/>
    </row>
    <row r="15" spans="1:19" x14ac:dyDescent="0.45">
      <c r="A15">
        <v>1999</v>
      </c>
      <c r="B15" s="2"/>
      <c r="C15" s="2"/>
      <c r="D15" s="2"/>
      <c r="N15" s="26"/>
      <c r="O15" s="26"/>
      <c r="Q15" s="26"/>
    </row>
    <row r="16" spans="1:19" x14ac:dyDescent="0.45">
      <c r="A16">
        <v>2000</v>
      </c>
      <c r="B16" s="2">
        <v>49.905522980239901</v>
      </c>
      <c r="C16" s="2">
        <v>86.7526288270804</v>
      </c>
      <c r="D16" s="2">
        <f>B16-C16</f>
        <v>-36.847105846840499</v>
      </c>
      <c r="N16" s="26"/>
      <c r="O16" s="26"/>
      <c r="Q16" s="26"/>
      <c r="R16" s="26"/>
    </row>
    <row r="17" spans="1:18" x14ac:dyDescent="0.45">
      <c r="A17">
        <v>2001</v>
      </c>
      <c r="B17" s="2"/>
      <c r="C17" s="2"/>
      <c r="D17" s="2"/>
      <c r="N17" s="26"/>
      <c r="O17" s="26"/>
      <c r="Q17" s="26"/>
    </row>
    <row r="18" spans="1:18" x14ac:dyDescent="0.45">
      <c r="A18">
        <v>2002</v>
      </c>
      <c r="B18" s="2"/>
      <c r="C18" s="2"/>
      <c r="D18" s="2"/>
      <c r="N18" s="26"/>
      <c r="O18" s="26"/>
      <c r="Q18" s="26"/>
    </row>
    <row r="19" spans="1:18" x14ac:dyDescent="0.45">
      <c r="A19">
        <v>2003</v>
      </c>
      <c r="B19" s="2">
        <v>37.347634238820397</v>
      </c>
      <c r="C19" s="2">
        <v>56.951990529331901</v>
      </c>
      <c r="D19" s="2">
        <f>B19-C19</f>
        <v>-19.604356290511504</v>
      </c>
      <c r="N19" s="26"/>
      <c r="O19" s="26"/>
      <c r="Q19" s="26"/>
      <c r="R19" s="26"/>
    </row>
    <row r="20" spans="1:18" x14ac:dyDescent="0.45">
      <c r="A20">
        <v>2004</v>
      </c>
      <c r="B20" s="2"/>
      <c r="C20" s="2"/>
      <c r="D20" s="2"/>
      <c r="N20" s="26"/>
      <c r="O20" s="26"/>
      <c r="Q20" s="26"/>
    </row>
    <row r="21" spans="1:18" x14ac:dyDescent="0.45">
      <c r="A21">
        <v>2005</v>
      </c>
      <c r="B21" s="2"/>
      <c r="C21" s="2"/>
      <c r="D21" s="2"/>
      <c r="N21" s="26"/>
      <c r="O21" s="26"/>
      <c r="Q21" s="26"/>
    </row>
    <row r="22" spans="1:18" x14ac:dyDescent="0.45">
      <c r="A22">
        <v>2006</v>
      </c>
      <c r="B22" s="2">
        <v>47.849016595020203</v>
      </c>
      <c r="C22" s="2">
        <v>67.970968926035098</v>
      </c>
      <c r="D22" s="2">
        <f>B22-C22</f>
        <v>-20.121952331014896</v>
      </c>
      <c r="N22" s="26"/>
      <c r="O22" s="26"/>
      <c r="Q22" s="26"/>
      <c r="R22" s="26"/>
    </row>
    <row r="23" spans="1:18" x14ac:dyDescent="0.45">
      <c r="A23">
        <v>2007</v>
      </c>
      <c r="B23" s="2"/>
      <c r="C23" s="2"/>
      <c r="D23" s="2"/>
      <c r="N23" s="26"/>
      <c r="O23" s="26"/>
      <c r="Q23" s="26"/>
    </row>
    <row r="24" spans="1:18" x14ac:dyDescent="0.45">
      <c r="A24">
        <v>2008</v>
      </c>
      <c r="B24" s="2"/>
      <c r="C24" s="2"/>
      <c r="D24" s="2"/>
      <c r="N24" s="26"/>
      <c r="O24" s="26"/>
      <c r="Q24" s="26"/>
    </row>
    <row r="25" spans="1:18" x14ac:dyDescent="0.45">
      <c r="A25">
        <v>2009</v>
      </c>
      <c r="B25" s="2">
        <v>36.6580282699531</v>
      </c>
      <c r="C25" s="2">
        <v>57.653427523851597</v>
      </c>
      <c r="D25" s="2">
        <f>B25-C25</f>
        <v>-20.995399253898498</v>
      </c>
      <c r="N25" s="26"/>
      <c r="O25" s="26"/>
      <c r="Q25" s="26"/>
      <c r="R25" s="26"/>
    </row>
    <row r="26" spans="1:18" x14ac:dyDescent="0.45">
      <c r="A26">
        <v>2010</v>
      </c>
      <c r="B26" s="2"/>
      <c r="C26" s="2"/>
      <c r="D26" s="2"/>
      <c r="N26" s="26"/>
      <c r="O26" s="26"/>
      <c r="Q26" s="26"/>
    </row>
    <row r="27" spans="1:18" x14ac:dyDescent="0.45">
      <c r="A27">
        <v>2011</v>
      </c>
      <c r="B27" s="2"/>
      <c r="C27" s="2"/>
      <c r="D27" s="2"/>
      <c r="N27" s="26"/>
      <c r="O27" s="26"/>
      <c r="Q27" s="26"/>
    </row>
    <row r="28" spans="1:18" x14ac:dyDescent="0.45">
      <c r="A28">
        <v>2012</v>
      </c>
      <c r="B28" s="2">
        <v>43.839746967534502</v>
      </c>
      <c r="C28" s="2">
        <v>63.860559217658597</v>
      </c>
      <c r="D28" s="2">
        <f>B28-C28</f>
        <v>-20.020812250124095</v>
      </c>
      <c r="N28" s="26"/>
      <c r="O28" s="26"/>
      <c r="Q28" s="26"/>
      <c r="R28" s="26"/>
    </row>
    <row r="29" spans="1:18" x14ac:dyDescent="0.45">
      <c r="A29">
        <v>2013</v>
      </c>
      <c r="B29" s="2"/>
      <c r="C29" s="2"/>
      <c r="D29" s="2"/>
      <c r="N29" s="26"/>
      <c r="O29" s="26"/>
      <c r="Q29" s="26"/>
    </row>
    <row r="30" spans="1:18" x14ac:dyDescent="0.45">
      <c r="A30">
        <v>2014</v>
      </c>
      <c r="B30" s="2"/>
      <c r="C30" s="2"/>
      <c r="D30" s="2"/>
      <c r="N30" s="26"/>
      <c r="O30" s="26"/>
      <c r="Q30" s="26"/>
    </row>
    <row r="31" spans="1:18" x14ac:dyDescent="0.45">
      <c r="A31">
        <v>2015</v>
      </c>
      <c r="B31" s="2">
        <v>39.794783305344602</v>
      </c>
      <c r="C31" s="2">
        <v>80.189137745333497</v>
      </c>
      <c r="D31" s="2">
        <f>B31-C31</f>
        <v>-40.394354439988895</v>
      </c>
      <c r="N31" s="26"/>
      <c r="O31" s="26"/>
    </row>
    <row r="33" spans="1:1" x14ac:dyDescent="0.45">
      <c r="A33" t="s">
        <v>66</v>
      </c>
    </row>
    <row r="34" spans="1:1" x14ac:dyDescent="0.45">
      <c r="A34" t="s">
        <v>67</v>
      </c>
    </row>
    <row r="35" spans="1:1" x14ac:dyDescent="0.45">
      <c r="A35" t="s">
        <v>33</v>
      </c>
    </row>
  </sheetData>
  <mergeCells count="6">
    <mergeCell ref="Q2:S2"/>
    <mergeCell ref="B2:D2"/>
    <mergeCell ref="E2:G2"/>
    <mergeCell ref="H2:J2"/>
    <mergeCell ref="K2:M2"/>
    <mergeCell ref="N2:P2"/>
  </mergeCells>
  <pageMargins left="0.7" right="0.7" top="0.75" bottom="0.75" header="0.51180555555555496" footer="0.51180555555555496"/>
  <pageSetup scale="49" firstPageNumber="0" orientation="portrait" horizontalDpi="4294967295" verticalDpi="4294967295"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42"/>
  <sheetViews>
    <sheetView zoomScaleNormal="100" workbookViewId="0">
      <selection activeCell="A35" sqref="A35"/>
    </sheetView>
  </sheetViews>
  <sheetFormatPr defaultRowHeight="14.25" x14ac:dyDescent="0.45"/>
  <cols>
    <col min="1" max="5" width="8.3984375"/>
    <col min="6" max="6" width="10.86328125"/>
    <col min="7" max="8" width="19"/>
    <col min="9" max="1025" width="8.3984375"/>
  </cols>
  <sheetData>
    <row r="1" spans="1:22" ht="18" x14ac:dyDescent="0.55000000000000004">
      <c r="A1" s="83" t="s">
        <v>68</v>
      </c>
      <c r="B1" s="83"/>
      <c r="C1" s="83"/>
      <c r="D1" s="83"/>
      <c r="E1" s="83"/>
      <c r="F1" s="83"/>
      <c r="G1" s="83"/>
      <c r="H1" s="83"/>
      <c r="I1" s="83"/>
      <c r="J1" s="83"/>
      <c r="K1" s="83"/>
      <c r="L1" s="83"/>
      <c r="M1" s="83"/>
      <c r="N1" s="24"/>
      <c r="O1" s="24"/>
      <c r="P1" s="24"/>
      <c r="Q1" s="24"/>
      <c r="R1" s="24"/>
      <c r="S1" s="24"/>
      <c r="T1" s="24"/>
      <c r="U1" s="24"/>
      <c r="V1" s="24"/>
    </row>
    <row r="2" spans="1:22" x14ac:dyDescent="0.45">
      <c r="A2" t="s">
        <v>2</v>
      </c>
      <c r="B2" t="s">
        <v>69</v>
      </c>
      <c r="C2" t="s">
        <v>70</v>
      </c>
      <c r="D2" t="s">
        <v>71</v>
      </c>
      <c r="F2" t="s">
        <v>72</v>
      </c>
      <c r="H2" t="s">
        <v>73</v>
      </c>
    </row>
    <row r="3" spans="1:22" x14ac:dyDescent="0.45">
      <c r="A3">
        <v>1988</v>
      </c>
    </row>
    <row r="4" spans="1:22" x14ac:dyDescent="0.45">
      <c r="A4">
        <v>1989</v>
      </c>
      <c r="B4">
        <v>6092.3078599999999</v>
      </c>
      <c r="C4">
        <v>12046.3187</v>
      </c>
      <c r="D4">
        <v>10284.12602</v>
      </c>
      <c r="F4" s="2">
        <f>D4-B4</f>
        <v>4191.8181599999998</v>
      </c>
      <c r="G4" s="2">
        <f>F4/B4</f>
        <v>0.68805094166728464</v>
      </c>
      <c r="H4" s="2" t="s">
        <v>74</v>
      </c>
      <c r="I4" s="2"/>
      <c r="J4" s="2"/>
    </row>
    <row r="5" spans="1:22" x14ac:dyDescent="0.45">
      <c r="A5">
        <v>1990</v>
      </c>
      <c r="F5" s="2"/>
      <c r="G5" s="2"/>
      <c r="H5" s="2"/>
      <c r="J5" s="2"/>
    </row>
    <row r="6" spans="1:22" x14ac:dyDescent="0.45">
      <c r="A6">
        <v>1991</v>
      </c>
      <c r="F6" s="2"/>
      <c r="G6" s="2"/>
      <c r="H6" s="2"/>
      <c r="J6" s="2"/>
    </row>
    <row r="7" spans="1:22" x14ac:dyDescent="0.45">
      <c r="A7">
        <v>1992</v>
      </c>
      <c r="B7">
        <v>8045.6437699999997</v>
      </c>
      <c r="C7">
        <v>14265.257799999999</v>
      </c>
      <c r="D7">
        <v>11154.88427</v>
      </c>
      <c r="F7" s="2">
        <f>D7-B7</f>
        <v>3109.2405000000008</v>
      </c>
      <c r="G7" s="2">
        <f>F7/B7</f>
        <v>0.38645018209649135</v>
      </c>
      <c r="H7" s="2" t="s">
        <v>75</v>
      </c>
      <c r="I7" s="2"/>
      <c r="J7" s="2"/>
    </row>
    <row r="8" spans="1:22" x14ac:dyDescent="0.45">
      <c r="A8">
        <v>1993</v>
      </c>
      <c r="F8" s="2"/>
      <c r="G8" s="2"/>
      <c r="H8" s="2"/>
      <c r="J8" s="2"/>
    </row>
    <row r="9" spans="1:22" x14ac:dyDescent="0.45">
      <c r="A9">
        <v>1994</v>
      </c>
      <c r="F9" s="2"/>
      <c r="G9" s="2"/>
      <c r="H9" s="2"/>
      <c r="J9" s="2"/>
    </row>
    <row r="10" spans="1:22" x14ac:dyDescent="0.45">
      <c r="A10">
        <v>1995</v>
      </c>
      <c r="B10">
        <v>7386.4001002000005</v>
      </c>
      <c r="C10">
        <v>13237.916950000001</v>
      </c>
      <c r="D10">
        <v>10658.5915</v>
      </c>
      <c r="F10" s="2">
        <f>D10-B10</f>
        <v>3272.1913998</v>
      </c>
      <c r="G10" s="2">
        <f>F10/B10</f>
        <v>0.44300218718336137</v>
      </c>
      <c r="H10" s="2" t="s">
        <v>76</v>
      </c>
      <c r="I10" s="2"/>
      <c r="J10" s="2"/>
    </row>
    <row r="11" spans="1:22" x14ac:dyDescent="0.45">
      <c r="A11">
        <v>1996</v>
      </c>
      <c r="B11" s="2"/>
      <c r="C11" s="2"/>
      <c r="D11" s="2"/>
      <c r="E11" s="2"/>
      <c r="F11" s="2"/>
      <c r="G11" s="2"/>
      <c r="H11" s="2"/>
      <c r="J11" s="2"/>
    </row>
    <row r="12" spans="1:22" x14ac:dyDescent="0.45">
      <c r="A12">
        <v>1997</v>
      </c>
      <c r="B12" s="2"/>
      <c r="C12" s="2"/>
      <c r="D12" s="2"/>
      <c r="E12" s="2"/>
      <c r="F12" s="2"/>
      <c r="G12" s="2"/>
      <c r="H12" s="2"/>
      <c r="J12" s="2"/>
    </row>
    <row r="13" spans="1:22" x14ac:dyDescent="0.45">
      <c r="A13">
        <v>1998</v>
      </c>
      <c r="B13" s="2">
        <v>7008.6980000000003</v>
      </c>
      <c r="C13" s="2">
        <v>13609.56</v>
      </c>
      <c r="D13" s="2">
        <v>11096.897000000001</v>
      </c>
      <c r="E13" s="2"/>
      <c r="F13" s="2">
        <f>D13-B13</f>
        <v>4088.1990000000005</v>
      </c>
      <c r="G13" s="2">
        <f>F13/B13</f>
        <v>0.58330363214394465</v>
      </c>
      <c r="H13" s="2" t="s">
        <v>77</v>
      </c>
      <c r="I13" s="2"/>
      <c r="J13" s="2"/>
    </row>
    <row r="14" spans="1:22" x14ac:dyDescent="0.45">
      <c r="A14">
        <v>1999</v>
      </c>
      <c r="B14" s="2"/>
      <c r="C14" s="2"/>
      <c r="D14" s="2"/>
      <c r="E14" s="2"/>
      <c r="F14" s="2"/>
      <c r="G14" s="2"/>
      <c r="H14" s="2"/>
      <c r="J14" s="2"/>
    </row>
    <row r="15" spans="1:22" x14ac:dyDescent="0.45">
      <c r="A15">
        <v>2000</v>
      </c>
      <c r="B15" s="2"/>
      <c r="C15" s="2"/>
      <c r="D15" s="2"/>
      <c r="E15" s="2"/>
      <c r="F15" s="2"/>
      <c r="G15" s="2"/>
      <c r="H15" s="2"/>
      <c r="J15" s="2"/>
    </row>
    <row r="16" spans="1:22" x14ac:dyDescent="0.45">
      <c r="A16">
        <v>2001</v>
      </c>
      <c r="B16" s="2">
        <v>7489.652</v>
      </c>
      <c r="C16" s="2">
        <v>13243.172200000001</v>
      </c>
      <c r="D16" s="2">
        <v>10082.428</v>
      </c>
      <c r="E16" s="2"/>
      <c r="F16" s="2">
        <f>D16-B16</f>
        <v>2592.7759999999998</v>
      </c>
      <c r="G16" s="2">
        <f>F16/B16</f>
        <v>0.34618110427560583</v>
      </c>
      <c r="H16" s="2" t="s">
        <v>78</v>
      </c>
      <c r="I16" s="2"/>
      <c r="J16" s="2"/>
    </row>
    <row r="17" spans="1:10" x14ac:dyDescent="0.45">
      <c r="A17">
        <v>2002</v>
      </c>
      <c r="B17" s="2"/>
      <c r="C17" s="2"/>
      <c r="D17" s="2"/>
      <c r="E17" s="2"/>
      <c r="F17" s="2"/>
      <c r="G17" s="2"/>
      <c r="H17" s="2"/>
      <c r="J17" s="2"/>
    </row>
    <row r="18" spans="1:10" x14ac:dyDescent="0.45">
      <c r="A18">
        <v>2003</v>
      </c>
      <c r="B18" s="2"/>
      <c r="C18" s="2"/>
      <c r="D18" s="2"/>
      <c r="E18" s="2"/>
      <c r="F18" s="2"/>
      <c r="G18" s="2"/>
      <c r="H18" s="2"/>
      <c r="J18" s="2"/>
    </row>
    <row r="19" spans="1:10" x14ac:dyDescent="0.45">
      <c r="A19">
        <v>2004</v>
      </c>
      <c r="B19" s="2">
        <v>7416.6679000000004</v>
      </c>
      <c r="C19" s="2">
        <v>13689.9</v>
      </c>
      <c r="D19" s="2">
        <v>11184.803900000001</v>
      </c>
      <c r="E19" s="2"/>
      <c r="F19" s="2">
        <f>D19-B19</f>
        <v>3768.1360000000004</v>
      </c>
      <c r="G19" s="2">
        <f>F19/B19</f>
        <v>0.50806319641196285</v>
      </c>
      <c r="H19" s="2" t="s">
        <v>79</v>
      </c>
      <c r="I19" s="2"/>
      <c r="J19" s="2"/>
    </row>
    <row r="20" spans="1:10" x14ac:dyDescent="0.45">
      <c r="A20">
        <v>2005</v>
      </c>
      <c r="B20" s="2"/>
      <c r="C20" s="2"/>
      <c r="D20" s="2"/>
      <c r="E20" s="2"/>
      <c r="F20" s="2"/>
      <c r="G20" s="2"/>
      <c r="H20" s="2"/>
      <c r="J20" s="2"/>
    </row>
    <row r="21" spans="1:10" x14ac:dyDescent="0.45">
      <c r="A21">
        <v>2006</v>
      </c>
      <c r="B21" s="2"/>
      <c r="C21" s="2"/>
      <c r="D21" s="2"/>
      <c r="E21" s="2"/>
      <c r="F21" s="2"/>
      <c r="G21" s="2"/>
      <c r="H21" s="2"/>
      <c r="J21" s="2"/>
    </row>
    <row r="22" spans="1:10" x14ac:dyDescent="0.45">
      <c r="A22">
        <v>2007</v>
      </c>
      <c r="B22" s="2">
        <v>7405.9264999999996</v>
      </c>
      <c r="C22" s="2">
        <v>13746.059300000001</v>
      </c>
      <c r="D22" s="2">
        <v>12316.7235</v>
      </c>
      <c r="E22" s="2"/>
      <c r="F22" s="2">
        <f>D22-B22</f>
        <v>4910.7970000000005</v>
      </c>
      <c r="G22" s="2">
        <f>F22/B22</f>
        <v>0.66309016164284118</v>
      </c>
      <c r="H22" s="2" t="s">
        <v>80</v>
      </c>
      <c r="I22" s="2"/>
      <c r="J22" s="2"/>
    </row>
    <row r="23" spans="1:10" x14ac:dyDescent="0.45">
      <c r="A23">
        <v>2008</v>
      </c>
      <c r="B23" s="2"/>
      <c r="C23" s="2"/>
      <c r="D23" s="2"/>
      <c r="E23" s="2"/>
      <c r="F23" s="2"/>
      <c r="G23" s="2"/>
      <c r="H23" s="2"/>
      <c r="I23" s="2"/>
      <c r="J23" s="2"/>
    </row>
    <row r="24" spans="1:10" x14ac:dyDescent="0.45">
      <c r="A24">
        <v>2009</v>
      </c>
      <c r="B24" s="2"/>
      <c r="C24" s="2"/>
      <c r="D24" s="2"/>
      <c r="E24" s="2"/>
      <c r="F24" s="2"/>
      <c r="G24" s="2"/>
      <c r="H24" s="2"/>
      <c r="J24" s="2"/>
    </row>
    <row r="25" spans="1:10" x14ac:dyDescent="0.45">
      <c r="A25">
        <v>2010</v>
      </c>
      <c r="B25" s="2">
        <v>7813.95</v>
      </c>
      <c r="C25" s="2">
        <v>14869.851000000001</v>
      </c>
      <c r="D25" s="2">
        <v>13975.753000000001</v>
      </c>
      <c r="E25" s="2"/>
      <c r="F25" s="2">
        <f>D25-B25</f>
        <v>6161.8030000000008</v>
      </c>
      <c r="G25" s="2">
        <f>F25/B25</f>
        <v>0.78856442644245239</v>
      </c>
      <c r="H25" s="2" t="s">
        <v>81</v>
      </c>
      <c r="I25" s="2"/>
      <c r="J25" s="2"/>
    </row>
    <row r="26" spans="1:10" x14ac:dyDescent="0.45">
      <c r="A26">
        <v>2011</v>
      </c>
      <c r="B26" s="2"/>
      <c r="C26" s="2"/>
      <c r="D26" s="2"/>
      <c r="E26" s="2"/>
      <c r="F26" s="2"/>
      <c r="G26" s="2"/>
      <c r="H26" s="2"/>
      <c r="J26" s="2"/>
    </row>
    <row r="27" spans="1:10" x14ac:dyDescent="0.45">
      <c r="A27">
        <v>2012</v>
      </c>
      <c r="B27" s="2"/>
      <c r="C27" s="2"/>
      <c r="D27" s="2"/>
      <c r="E27" s="2"/>
      <c r="F27" s="2"/>
      <c r="G27" s="2"/>
      <c r="H27" s="2"/>
      <c r="J27" s="2"/>
    </row>
    <row r="28" spans="1:10" x14ac:dyDescent="0.45">
      <c r="A28">
        <v>2013</v>
      </c>
      <c r="B28" s="2">
        <v>6184.8190000000004</v>
      </c>
      <c r="C28" s="2">
        <v>13129.901099999999</v>
      </c>
      <c r="D28" s="2">
        <v>12044.825000000001</v>
      </c>
      <c r="E28" s="2"/>
      <c r="F28" s="2">
        <f>D28-B28</f>
        <v>5860.0060000000003</v>
      </c>
      <c r="G28" s="2">
        <f>F28/B28</f>
        <v>0.94748221411168221</v>
      </c>
      <c r="H28" s="2" t="s">
        <v>82</v>
      </c>
      <c r="I28" s="2"/>
      <c r="J28" s="2"/>
    </row>
    <row r="29" spans="1:10" x14ac:dyDescent="0.45">
      <c r="A29">
        <v>2014</v>
      </c>
      <c r="B29" s="2"/>
      <c r="C29" s="2"/>
      <c r="D29" s="2"/>
      <c r="E29" s="2"/>
      <c r="F29" s="2"/>
      <c r="G29" s="2"/>
      <c r="H29" s="2"/>
      <c r="J29" s="2"/>
    </row>
    <row r="30" spans="1:10" x14ac:dyDescent="0.45">
      <c r="A30">
        <v>2015</v>
      </c>
      <c r="B30" s="2"/>
      <c r="C30" s="2"/>
      <c r="D30" s="2"/>
      <c r="E30" s="2"/>
      <c r="F30" s="2"/>
      <c r="G30" s="2"/>
      <c r="H30" s="2"/>
      <c r="J30" s="2"/>
    </row>
    <row r="31" spans="1:10" x14ac:dyDescent="0.45">
      <c r="A31">
        <v>2016</v>
      </c>
      <c r="B31" s="2">
        <v>7139.77</v>
      </c>
      <c r="C31" s="2">
        <v>17036.099999999999</v>
      </c>
      <c r="D31" s="2">
        <v>16201.098900000001</v>
      </c>
      <c r="E31" s="2"/>
      <c r="F31" s="2">
        <f>D31-B31</f>
        <v>9061.3289000000004</v>
      </c>
      <c r="G31" s="2">
        <f>F31/B31</f>
        <v>1.2691345659594075</v>
      </c>
      <c r="H31" s="2" t="s">
        <v>83</v>
      </c>
      <c r="I31" s="2"/>
      <c r="J31" s="2"/>
    </row>
    <row r="32" spans="1:10" x14ac:dyDescent="0.45">
      <c r="H32" s="2"/>
    </row>
    <row r="33" spans="1:1" x14ac:dyDescent="0.45">
      <c r="A33" t="s">
        <v>84</v>
      </c>
    </row>
    <row r="34" spans="1:1" x14ac:dyDescent="0.45">
      <c r="A34" t="s">
        <v>85</v>
      </c>
    </row>
    <row r="35" spans="1:1" x14ac:dyDescent="0.45">
      <c r="A35" t="s">
        <v>86</v>
      </c>
    </row>
    <row r="37" spans="1:1" x14ac:dyDescent="0.45">
      <c r="A37" t="s">
        <v>87</v>
      </c>
    </row>
    <row r="39" spans="1:1" x14ac:dyDescent="0.45">
      <c r="A39" t="s">
        <v>88</v>
      </c>
    </row>
    <row r="40" spans="1:1" x14ac:dyDescent="0.45">
      <c r="A40" t="s">
        <v>89</v>
      </c>
    </row>
    <row r="42" spans="1:1" x14ac:dyDescent="0.45">
      <c r="A42" t="s">
        <v>33</v>
      </c>
    </row>
  </sheetData>
  <mergeCells count="1">
    <mergeCell ref="A1:M1"/>
  </mergeCells>
  <pageMargins left="0.7" right="0.7" top="0.75" bottom="0.75" header="0.51180555555555496" footer="0.51180555555555496"/>
  <pageSetup firstPageNumber="0" orientation="portrait" horizontalDpi="4294967295" verticalDpi="429496729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L13"/>
  <sheetViews>
    <sheetView zoomScaleNormal="100" workbookViewId="0">
      <selection activeCell="J2" sqref="J2:J13"/>
    </sheetView>
  </sheetViews>
  <sheetFormatPr defaultRowHeight="14.25" x14ac:dyDescent="0.45"/>
  <cols>
    <col min="1" max="1" width="8.3984375"/>
    <col min="2" max="6" width="13"/>
    <col min="7" max="7" width="12.1328125"/>
    <col min="8" max="8" width="13"/>
    <col min="9" max="9" width="12.1328125"/>
    <col min="10" max="10" width="15.86328125" bestFit="1" customWidth="1"/>
    <col min="11" max="11" width="8.3984375"/>
    <col min="12" max="12" width="124.3984375"/>
    <col min="13" max="1025" width="8.3984375"/>
  </cols>
  <sheetData>
    <row r="1" spans="1:12" ht="114" x14ac:dyDescent="0.45">
      <c r="A1" s="100" t="s">
        <v>90</v>
      </c>
      <c r="B1" s="100"/>
      <c r="C1" s="100"/>
      <c r="D1" s="100"/>
      <c r="E1" s="100"/>
      <c r="F1" s="100"/>
      <c r="G1" s="100"/>
      <c r="H1" s="100"/>
      <c r="I1" s="100"/>
      <c r="L1" s="27" t="s">
        <v>91</v>
      </c>
    </row>
    <row r="2" spans="1:12" x14ac:dyDescent="0.45">
      <c r="A2" t="s">
        <v>92</v>
      </c>
      <c r="B2" t="s">
        <v>93</v>
      </c>
      <c r="C2" t="s">
        <v>94</v>
      </c>
      <c r="D2" t="s">
        <v>95</v>
      </c>
      <c r="E2" t="s">
        <v>96</v>
      </c>
      <c r="F2" t="s">
        <v>97</v>
      </c>
      <c r="G2" t="s">
        <v>98</v>
      </c>
      <c r="H2" t="s">
        <v>99</v>
      </c>
      <c r="I2" t="s">
        <v>100</v>
      </c>
    </row>
    <row r="3" spans="1:12" x14ac:dyDescent="0.45">
      <c r="A3">
        <v>0</v>
      </c>
      <c r="B3">
        <v>0</v>
      </c>
      <c r="C3">
        <v>0</v>
      </c>
      <c r="D3">
        <v>0</v>
      </c>
      <c r="E3">
        <v>0</v>
      </c>
      <c r="F3">
        <v>0</v>
      </c>
      <c r="G3">
        <v>0</v>
      </c>
      <c r="H3">
        <v>0</v>
      </c>
      <c r="I3">
        <v>0</v>
      </c>
    </row>
    <row r="4" spans="1:12" x14ac:dyDescent="0.45">
      <c r="A4">
        <v>10</v>
      </c>
      <c r="B4" s="2">
        <v>-2.1139678488103901</v>
      </c>
      <c r="C4" s="2">
        <v>-0.82554976503891098</v>
      </c>
      <c r="D4" s="2">
        <v>-6.7530495878493104</v>
      </c>
      <c r="E4" s="2">
        <v>-12.2923294366443</v>
      </c>
      <c r="F4" s="2">
        <v>-0.59162911188288203</v>
      </c>
      <c r="G4" s="2">
        <v>2.2762952371576</v>
      </c>
      <c r="H4" s="2">
        <v>-1.6307749348349001</v>
      </c>
      <c r="I4" s="2">
        <v>0.45592169771093</v>
      </c>
    </row>
    <row r="5" spans="1:12" x14ac:dyDescent="0.45">
      <c r="A5">
        <v>20</v>
      </c>
      <c r="B5" s="2">
        <v>2.2399581830184201</v>
      </c>
      <c r="C5" s="2">
        <v>1.5710127529334299</v>
      </c>
      <c r="D5" s="2">
        <v>-1.9241201691021701</v>
      </c>
      <c r="E5" s="2">
        <v>-10.3982757244751</v>
      </c>
      <c r="F5" s="2">
        <v>3.8690742305521502</v>
      </c>
      <c r="G5" s="2">
        <v>5.6239954204908296</v>
      </c>
      <c r="H5" s="2">
        <v>2.8478767378002399</v>
      </c>
      <c r="I5" s="2">
        <v>2.9731379474556299</v>
      </c>
    </row>
    <row r="6" spans="1:12" x14ac:dyDescent="0.45">
      <c r="A6">
        <v>30</v>
      </c>
      <c r="B6" s="2">
        <v>7.9201338969282098</v>
      </c>
      <c r="C6" s="2">
        <v>5.1310089299869999</v>
      </c>
      <c r="D6" s="2">
        <v>4.52152332238059</v>
      </c>
      <c r="E6" s="2">
        <v>-6.6012633855758702</v>
      </c>
      <c r="F6" s="2">
        <v>9.9408024799403591</v>
      </c>
      <c r="G6" s="2">
        <v>11.019676611030899</v>
      </c>
      <c r="H6" s="2">
        <v>8.6982717007967008</v>
      </c>
      <c r="I6" s="2">
        <v>6.9899089179460496</v>
      </c>
    </row>
    <row r="7" spans="1:12" x14ac:dyDescent="0.45">
      <c r="A7">
        <v>40</v>
      </c>
      <c r="B7" s="2">
        <v>14.196626227232301</v>
      </c>
      <c r="C7" s="2">
        <v>9.9172233188758998</v>
      </c>
      <c r="D7" s="2">
        <v>11.4058448297613</v>
      </c>
      <c r="E7" s="2">
        <v>-1.0088061000670101</v>
      </c>
      <c r="F7" s="2">
        <v>16.393812763767698</v>
      </c>
      <c r="G7" s="2">
        <v>16.716753881006699</v>
      </c>
      <c r="H7" s="2">
        <v>14.7146470568269</v>
      </c>
      <c r="I7" s="2">
        <v>11.727050119902399</v>
      </c>
    </row>
    <row r="8" spans="1:12" x14ac:dyDescent="0.45">
      <c r="A8">
        <v>50</v>
      </c>
      <c r="B8" s="2">
        <v>20.818356415303501</v>
      </c>
      <c r="C8" s="2">
        <v>15.8276036187322</v>
      </c>
      <c r="D8" s="2">
        <v>18.502742843576399</v>
      </c>
      <c r="E8" s="2">
        <v>4.7750848748130599</v>
      </c>
      <c r="F8" s="2">
        <v>23.056691125322899</v>
      </c>
      <c r="G8" s="2">
        <v>24.3172265527765</v>
      </c>
      <c r="H8" s="2">
        <v>21.1637766972006</v>
      </c>
      <c r="I8" s="2">
        <v>17.554867498038099</v>
      </c>
    </row>
    <row r="9" spans="1:12" x14ac:dyDescent="0.45">
      <c r="A9">
        <v>60</v>
      </c>
      <c r="B9" s="2">
        <v>27.801779207199999</v>
      </c>
      <c r="C9" s="2">
        <v>22.428277854258599</v>
      </c>
      <c r="D9" s="2">
        <v>25.956325031378402</v>
      </c>
      <c r="E9" s="2">
        <v>12.1621117110121</v>
      </c>
      <c r="F9" s="2">
        <v>29.806285714941101</v>
      </c>
      <c r="G9" s="2">
        <v>32.578440786722602</v>
      </c>
      <c r="H9" s="2">
        <v>27.806364765769999</v>
      </c>
      <c r="I9" s="2">
        <v>23.871053810105099</v>
      </c>
    </row>
    <row r="10" spans="1:12" x14ac:dyDescent="0.45">
      <c r="A10">
        <v>70</v>
      </c>
      <c r="B10" s="2">
        <v>35.500128056423101</v>
      </c>
      <c r="C10" s="2">
        <v>29.9083636168622</v>
      </c>
      <c r="D10" s="2">
        <v>33.585760604132098</v>
      </c>
      <c r="E10" s="2">
        <v>16.701256128424902</v>
      </c>
      <c r="F10" s="2">
        <v>37.367917863493197</v>
      </c>
      <c r="G10" s="2">
        <v>42.4170333993914</v>
      </c>
      <c r="H10" s="2">
        <v>35.4917798454116</v>
      </c>
      <c r="I10" s="2">
        <v>30.918469592681902</v>
      </c>
    </row>
    <row r="11" spans="1:12" x14ac:dyDescent="0.45">
      <c r="A11">
        <v>80</v>
      </c>
      <c r="B11" s="2">
        <v>45.800756847774899</v>
      </c>
      <c r="C11" s="2">
        <v>39.9406220914559</v>
      </c>
      <c r="D11" s="2">
        <v>42.359922372438199</v>
      </c>
      <c r="E11" s="2">
        <v>22.043368985232998</v>
      </c>
      <c r="F11" s="2">
        <v>49.7200150473737</v>
      </c>
      <c r="G11" s="2">
        <v>55.490178317166198</v>
      </c>
      <c r="H11" s="2">
        <v>45.780993295027102</v>
      </c>
      <c r="I11" s="2">
        <v>40.288280465758902</v>
      </c>
    </row>
    <row r="12" spans="1:12" x14ac:dyDescent="0.45">
      <c r="A12">
        <v>90</v>
      </c>
      <c r="B12" s="2">
        <v>58.696094815929698</v>
      </c>
      <c r="C12" s="2">
        <v>55.110656982299098</v>
      </c>
      <c r="D12" s="2">
        <v>56.053136744849198</v>
      </c>
      <c r="E12" s="2">
        <v>30.925371230546101</v>
      </c>
      <c r="F12" s="2">
        <v>60.658286414509902</v>
      </c>
      <c r="G12" s="2">
        <v>69.7683137025317</v>
      </c>
      <c r="H12" s="2">
        <v>59.200535489815401</v>
      </c>
      <c r="I12" s="2">
        <v>56.635908812992703</v>
      </c>
    </row>
    <row r="13" spans="1:12" x14ac:dyDescent="0.45">
      <c r="A13">
        <v>100</v>
      </c>
      <c r="B13">
        <v>100</v>
      </c>
      <c r="C13">
        <v>100</v>
      </c>
      <c r="D13">
        <v>100</v>
      </c>
      <c r="E13">
        <v>100</v>
      </c>
      <c r="F13">
        <v>100</v>
      </c>
      <c r="G13">
        <v>100</v>
      </c>
      <c r="H13">
        <v>100</v>
      </c>
      <c r="I13">
        <v>100</v>
      </c>
    </row>
  </sheetData>
  <mergeCells count="1">
    <mergeCell ref="A1:I1"/>
  </mergeCells>
  <pageMargins left="0.7" right="0.7" top="0.75" bottom="0.75" header="0.51180555555555496" footer="0.51180555555555496"/>
  <pageSetup scale="34" firstPageNumber="0" orientation="portrait" horizontalDpi="4294967295" verticalDpi="4294967295"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L13"/>
  <sheetViews>
    <sheetView zoomScaleNormal="100" workbookViewId="0">
      <selection activeCellId="1" sqref="J27:M34 A1:I1"/>
    </sheetView>
  </sheetViews>
  <sheetFormatPr defaultRowHeight="14.25" x14ac:dyDescent="0.45"/>
  <cols>
    <col min="1" max="1" width="8.3984375"/>
    <col min="2" max="2" width="13"/>
    <col min="3" max="3" width="12.1328125"/>
    <col min="4" max="4" width="13"/>
    <col min="5" max="7" width="12.1328125"/>
    <col min="8" max="8" width="13"/>
    <col min="9" max="9" width="12.1328125"/>
    <col min="10" max="10" width="8.3984375"/>
    <col min="11" max="11" width="90.3984375"/>
    <col min="12" max="1025" width="8.3984375"/>
  </cols>
  <sheetData>
    <row r="1" spans="1:12" ht="128.25" x14ac:dyDescent="0.45">
      <c r="A1" s="100" t="s">
        <v>101</v>
      </c>
      <c r="B1" s="100"/>
      <c r="C1" s="100"/>
      <c r="D1" s="100"/>
      <c r="E1" s="100"/>
      <c r="F1" s="100"/>
      <c r="G1" s="100"/>
      <c r="H1" s="100"/>
      <c r="I1" s="100"/>
      <c r="K1" s="27" t="s">
        <v>102</v>
      </c>
      <c r="L1" t="s">
        <v>103</v>
      </c>
    </row>
    <row r="2" spans="1:12" x14ac:dyDescent="0.45">
      <c r="A2" t="s">
        <v>92</v>
      </c>
      <c r="B2" t="s">
        <v>93</v>
      </c>
      <c r="C2" t="s">
        <v>94</v>
      </c>
      <c r="D2" t="s">
        <v>95</v>
      </c>
      <c r="E2" t="s">
        <v>96</v>
      </c>
      <c r="F2" t="s">
        <v>97</v>
      </c>
      <c r="G2" t="s">
        <v>98</v>
      </c>
      <c r="H2" t="s">
        <v>99</v>
      </c>
      <c r="I2" t="s">
        <v>100</v>
      </c>
    </row>
    <row r="3" spans="1:12" x14ac:dyDescent="0.45">
      <c r="A3">
        <v>0</v>
      </c>
      <c r="B3">
        <v>0</v>
      </c>
      <c r="C3">
        <v>0</v>
      </c>
      <c r="D3">
        <v>0</v>
      </c>
      <c r="E3">
        <v>0</v>
      </c>
      <c r="F3">
        <v>0</v>
      </c>
      <c r="G3">
        <v>0</v>
      </c>
      <c r="H3">
        <v>0</v>
      </c>
      <c r="I3">
        <v>0</v>
      </c>
    </row>
    <row r="4" spans="1:12" x14ac:dyDescent="0.45">
      <c r="A4">
        <v>10</v>
      </c>
      <c r="B4" s="2">
        <v>-0.381050733605928</v>
      </c>
      <c r="C4" s="2">
        <v>0.142594897108583</v>
      </c>
      <c r="D4" s="2">
        <v>-1.2525199451155899</v>
      </c>
      <c r="E4" s="2">
        <v>4.2703303303414403E-2</v>
      </c>
      <c r="F4" s="2">
        <v>0.77590842106985503</v>
      </c>
      <c r="G4" s="2">
        <v>0.21218081994117499</v>
      </c>
      <c r="H4" s="2">
        <v>-0.52379570518898699</v>
      </c>
      <c r="I4" s="2">
        <v>0.15774773259487199</v>
      </c>
    </row>
    <row r="5" spans="1:12" x14ac:dyDescent="0.45">
      <c r="A5">
        <v>20</v>
      </c>
      <c r="B5" s="2">
        <v>-0.60491363288003097</v>
      </c>
      <c r="C5" s="2">
        <v>0.72672332939700102</v>
      </c>
      <c r="D5" s="2">
        <v>-2.5050398902311799</v>
      </c>
      <c r="E5" s="2">
        <v>0.37575126584889001</v>
      </c>
      <c r="F5" s="2">
        <v>2.1805681794670102</v>
      </c>
      <c r="G5" s="2">
        <v>1.15705322470401</v>
      </c>
      <c r="H5" s="2">
        <v>-1.04759141037797</v>
      </c>
      <c r="I5" s="2">
        <v>0.68704441351754997</v>
      </c>
    </row>
    <row r="6" spans="1:12" x14ac:dyDescent="0.45">
      <c r="A6">
        <v>30</v>
      </c>
      <c r="B6" s="2">
        <v>-0.35531265016626401</v>
      </c>
      <c r="C6" s="2">
        <v>1.99524635121028</v>
      </c>
      <c r="D6" s="2">
        <v>-2.9694536859569398</v>
      </c>
      <c r="E6" s="2">
        <v>1.06790361220842</v>
      </c>
      <c r="F6" s="2">
        <v>3.9344536566858301</v>
      </c>
      <c r="G6" s="2">
        <v>3.5430175331988099</v>
      </c>
      <c r="H6" s="2">
        <v>-1.1931252856969701</v>
      </c>
      <c r="I6" s="2">
        <v>1.6850321297169399</v>
      </c>
    </row>
    <row r="7" spans="1:12" x14ac:dyDescent="0.45">
      <c r="A7">
        <v>40</v>
      </c>
      <c r="B7" s="2">
        <v>0.74572141240319001</v>
      </c>
      <c r="C7" s="2">
        <v>4.4275847140828803</v>
      </c>
      <c r="D7" s="2">
        <v>-1.90864850170543</v>
      </c>
      <c r="E7" s="2">
        <v>2.07885070139388</v>
      </c>
      <c r="F7" s="2">
        <v>5.6883391339046501</v>
      </c>
      <c r="G7" s="2">
        <v>6.7603102092462501</v>
      </c>
      <c r="H7" s="2">
        <v>-0.39840249129323002</v>
      </c>
      <c r="I7" s="2">
        <v>4.4355889728457001</v>
      </c>
    </row>
    <row r="8" spans="1:12" x14ac:dyDescent="0.45">
      <c r="A8">
        <v>50</v>
      </c>
      <c r="B8" s="2">
        <v>3.3438506596279001</v>
      </c>
      <c r="C8" s="2">
        <v>7.72041771663823</v>
      </c>
      <c r="D8" s="2">
        <v>0.86462713551460801</v>
      </c>
      <c r="E8" s="2">
        <v>4.0510029628130697</v>
      </c>
      <c r="F8" s="2">
        <v>8.7105904656800508</v>
      </c>
      <c r="G8" s="2">
        <v>10.7072817663935</v>
      </c>
      <c r="H8" s="2">
        <v>1.9000925186584701</v>
      </c>
      <c r="I8" s="2">
        <v>8.0616930686731596</v>
      </c>
    </row>
    <row r="9" spans="1:12" x14ac:dyDescent="0.45">
      <c r="A9">
        <v>60</v>
      </c>
      <c r="B9" s="2">
        <v>6.6946924526928804</v>
      </c>
      <c r="C9" s="2">
        <v>12.280164823305199</v>
      </c>
      <c r="D9" s="2">
        <v>4.6264283018421501</v>
      </c>
      <c r="E9" s="2">
        <v>7.6154438168301697</v>
      </c>
      <c r="F9" s="2">
        <v>11.8292105352929</v>
      </c>
      <c r="G9" s="2">
        <v>15.5392378320237</v>
      </c>
      <c r="H9" s="2">
        <v>5.1615654868182297</v>
      </c>
      <c r="I9" s="2">
        <v>12.982988822183501</v>
      </c>
    </row>
    <row r="10" spans="1:12" x14ac:dyDescent="0.45">
      <c r="A10">
        <v>70</v>
      </c>
      <c r="B10" s="2">
        <v>11.356612308385801</v>
      </c>
      <c r="C10" s="2">
        <v>18.8035732553037</v>
      </c>
      <c r="D10" s="2">
        <v>8.1683833973329794</v>
      </c>
      <c r="E10" s="2">
        <v>12.635963106131101</v>
      </c>
      <c r="F10" s="2">
        <v>16.267671730669999</v>
      </c>
      <c r="G10" s="2">
        <v>24.0885403471035</v>
      </c>
      <c r="H10" s="2">
        <v>10.4951970527701</v>
      </c>
      <c r="I10" s="2">
        <v>19.244894783990102</v>
      </c>
    </row>
    <row r="11" spans="1:12" x14ac:dyDescent="0.45">
      <c r="A11">
        <v>80</v>
      </c>
      <c r="B11" s="2">
        <v>19.177389058037601</v>
      </c>
      <c r="C11" s="2">
        <v>28.3095171562763</v>
      </c>
      <c r="D11" s="2">
        <v>14.9258270431322</v>
      </c>
      <c r="E11" s="2">
        <v>21.930018583072801</v>
      </c>
      <c r="F11" s="2">
        <v>23.905081014498201</v>
      </c>
      <c r="G11" s="2">
        <v>32.855731190205702</v>
      </c>
      <c r="H11" s="2">
        <v>18.939324087260001</v>
      </c>
      <c r="I11" s="2">
        <v>29.226159425913298</v>
      </c>
    </row>
    <row r="12" spans="1:12" x14ac:dyDescent="0.45">
      <c r="A12">
        <v>90</v>
      </c>
      <c r="B12" s="2">
        <v>34.003971201391202</v>
      </c>
      <c r="C12" s="2">
        <v>41.912996131287201</v>
      </c>
      <c r="D12" s="2">
        <v>29.2599149378511</v>
      </c>
      <c r="E12" s="2">
        <v>38.309610878764801</v>
      </c>
      <c r="F12" s="2">
        <v>38.2864281265472</v>
      </c>
      <c r="G12" s="2">
        <v>47.339710154564202</v>
      </c>
      <c r="H12" s="2">
        <v>34.234770870583297</v>
      </c>
      <c r="I12" s="2">
        <v>41.001331745909901</v>
      </c>
    </row>
    <row r="13" spans="1:12" x14ac:dyDescent="0.45">
      <c r="A13">
        <v>100</v>
      </c>
      <c r="B13">
        <v>100</v>
      </c>
      <c r="C13">
        <v>100</v>
      </c>
      <c r="D13">
        <v>100</v>
      </c>
      <c r="E13">
        <v>100</v>
      </c>
      <c r="F13">
        <v>100</v>
      </c>
      <c r="G13">
        <v>100</v>
      </c>
      <c r="H13">
        <v>100</v>
      </c>
      <c r="I13">
        <v>100</v>
      </c>
    </row>
  </sheetData>
  <mergeCells count="1">
    <mergeCell ref="A1:I1"/>
  </mergeCells>
  <pageMargins left="0.7" right="0.7" top="0.75" bottom="0.75" header="0.51180555555555496" footer="0.51180555555555496"/>
  <pageSetup scale="37" firstPageNumber="0" orientation="portrait" horizontalDpi="4294967295" verticalDpi="4294967295"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L13"/>
  <sheetViews>
    <sheetView zoomScaleNormal="100" workbookViewId="0">
      <selection activeCell="A4" sqref="A4"/>
    </sheetView>
  </sheetViews>
  <sheetFormatPr defaultRowHeight="14.25" x14ac:dyDescent="0.45"/>
  <cols>
    <col min="1" max="1" width="8.3984375"/>
    <col min="2" max="3" width="12.1328125"/>
    <col min="4" max="4" width="13"/>
    <col min="5" max="9" width="12.1328125"/>
    <col min="10" max="11" width="8.3984375"/>
    <col min="12" max="12" width="108.59765625"/>
    <col min="13" max="1025" width="8.3984375"/>
  </cols>
  <sheetData>
    <row r="1" spans="1:12" ht="128.25" x14ac:dyDescent="0.45">
      <c r="A1" s="100" t="s">
        <v>104</v>
      </c>
      <c r="B1" s="100"/>
      <c r="C1" s="100"/>
      <c r="D1" s="100"/>
      <c r="E1" s="100"/>
      <c r="F1" s="100"/>
      <c r="G1" s="100"/>
      <c r="H1" s="100"/>
      <c r="I1" s="100"/>
      <c r="L1" s="27" t="s">
        <v>105</v>
      </c>
    </row>
    <row r="2" spans="1:12" x14ac:dyDescent="0.45">
      <c r="A2" t="s">
        <v>92</v>
      </c>
      <c r="B2" t="s">
        <v>93</v>
      </c>
      <c r="C2" t="s">
        <v>94</v>
      </c>
      <c r="D2" t="s">
        <v>95</v>
      </c>
      <c r="E2" t="s">
        <v>96</v>
      </c>
      <c r="F2" t="s">
        <v>97</v>
      </c>
      <c r="G2" t="s">
        <v>98</v>
      </c>
      <c r="H2" t="s">
        <v>99</v>
      </c>
      <c r="I2" t="s">
        <v>100</v>
      </c>
    </row>
    <row r="3" spans="1:12" x14ac:dyDescent="0.45">
      <c r="A3">
        <v>0</v>
      </c>
      <c r="B3">
        <v>0</v>
      </c>
      <c r="C3">
        <v>0</v>
      </c>
      <c r="D3">
        <v>0</v>
      </c>
      <c r="E3">
        <v>0</v>
      </c>
      <c r="F3">
        <v>0</v>
      </c>
      <c r="G3">
        <v>0</v>
      </c>
      <c r="H3">
        <v>0</v>
      </c>
      <c r="I3">
        <v>0</v>
      </c>
    </row>
    <row r="4" spans="1:12" x14ac:dyDescent="0.45">
      <c r="A4">
        <v>10</v>
      </c>
      <c r="B4" s="2">
        <v>5.3558155427181804</v>
      </c>
      <c r="C4" s="2">
        <v>0.14214068370767799</v>
      </c>
      <c r="D4" s="2">
        <v>-0.59162911188288203</v>
      </c>
      <c r="E4" s="2">
        <v>0</v>
      </c>
      <c r="F4" s="2">
        <v>6.6609248270570998</v>
      </c>
      <c r="G4" s="2">
        <v>0.57708903482006901</v>
      </c>
      <c r="H4" s="2">
        <v>6.1661306377387204</v>
      </c>
      <c r="I4" s="2">
        <v>3.2609288213114901E-2</v>
      </c>
    </row>
    <row r="5" spans="1:12" x14ac:dyDescent="0.45">
      <c r="A5">
        <v>20</v>
      </c>
      <c r="B5" s="2">
        <v>11.489327691040801</v>
      </c>
      <c r="C5" s="2">
        <v>1.2709067165044301</v>
      </c>
      <c r="D5" s="2">
        <v>3.8690742305521502</v>
      </c>
      <c r="E5" s="2">
        <v>0</v>
      </c>
      <c r="F5" s="2">
        <v>13.367919249123901</v>
      </c>
      <c r="G5" s="2">
        <v>3.4908446986071202</v>
      </c>
      <c r="H5" s="2">
        <v>12.640305645247199</v>
      </c>
      <c r="I5" s="2">
        <v>0.76433499873302801</v>
      </c>
    </row>
    <row r="6" spans="1:12" x14ac:dyDescent="0.45">
      <c r="A6">
        <v>30</v>
      </c>
      <c r="B6" s="2">
        <v>17.929323207503401</v>
      </c>
      <c r="C6" s="2">
        <v>3.6057388106981199</v>
      </c>
      <c r="D6" s="2">
        <v>9.3060542249274807</v>
      </c>
      <c r="E6" s="2">
        <v>7.7968537247623607E-2</v>
      </c>
      <c r="F6" s="2">
        <v>20.2839653927577</v>
      </c>
      <c r="G6" s="2">
        <v>7.9724587000154097</v>
      </c>
      <c r="H6" s="2">
        <v>19.391152017607201</v>
      </c>
      <c r="I6" s="2">
        <v>3.1886753217575099</v>
      </c>
    </row>
    <row r="7" spans="1:12" x14ac:dyDescent="0.45">
      <c r="A7">
        <v>40</v>
      </c>
      <c r="B7" s="2">
        <v>24.5630001463194</v>
      </c>
      <c r="C7" s="2">
        <v>7.48968193638005</v>
      </c>
      <c r="D7" s="2">
        <v>15.3707900021324</v>
      </c>
      <c r="E7" s="2">
        <v>0.98927340664597596</v>
      </c>
      <c r="F7" s="2">
        <v>27.444817601849</v>
      </c>
      <c r="G7" s="2">
        <v>15.8324532559365</v>
      </c>
      <c r="H7" s="2">
        <v>26.106237523485198</v>
      </c>
      <c r="I7" s="2">
        <v>7.2170062554017598</v>
      </c>
    </row>
    <row r="8" spans="1:12" x14ac:dyDescent="0.45">
      <c r="A8">
        <v>50</v>
      </c>
      <c r="B8" s="2">
        <v>31.362943037116501</v>
      </c>
      <c r="C8" s="2">
        <v>12.4249048920601</v>
      </c>
      <c r="D8" s="2">
        <v>21.784701516925399</v>
      </c>
      <c r="E8" s="2">
        <v>4.4283659600279899</v>
      </c>
      <c r="F8" s="2">
        <v>34.718109799939498</v>
      </c>
      <c r="G8" s="2">
        <v>24.442861956302</v>
      </c>
      <c r="H8" s="2">
        <v>32.906851153234904</v>
      </c>
      <c r="I8" s="2">
        <v>11.6849044858659</v>
      </c>
    </row>
    <row r="9" spans="1:12" x14ac:dyDescent="0.45">
      <c r="A9">
        <v>60</v>
      </c>
      <c r="B9" s="2">
        <v>38.449232954506599</v>
      </c>
      <c r="C9" s="2">
        <v>18.064412649461801</v>
      </c>
      <c r="D9" s="2">
        <v>28.661078815750901</v>
      </c>
      <c r="E9" s="2">
        <v>4.9006689300256996</v>
      </c>
      <c r="F9" s="2">
        <v>42.5998421334466</v>
      </c>
      <c r="G9" s="2">
        <v>34.588633183762603</v>
      </c>
      <c r="H9" s="2">
        <v>40.185773853737203</v>
      </c>
      <c r="I9" s="2">
        <v>17.500274428916502</v>
      </c>
    </row>
    <row r="10" spans="1:12" x14ac:dyDescent="0.45">
      <c r="A10">
        <v>70</v>
      </c>
      <c r="B10" s="2">
        <v>46.116540192820601</v>
      </c>
      <c r="C10" s="2">
        <v>26.547849401903701</v>
      </c>
      <c r="D10" s="2">
        <v>37.101106144736796</v>
      </c>
      <c r="E10" s="2">
        <v>8.3829371373668806</v>
      </c>
      <c r="F10" s="2">
        <v>50.557280696536601</v>
      </c>
      <c r="G10" s="2">
        <v>45.337223374699299</v>
      </c>
      <c r="H10" s="2">
        <v>48.126977923255403</v>
      </c>
      <c r="I10" s="2">
        <v>25.428269335706101</v>
      </c>
    </row>
    <row r="11" spans="1:12" x14ac:dyDescent="0.45">
      <c r="A11">
        <v>80</v>
      </c>
      <c r="B11" s="2">
        <v>54.3446472701931</v>
      </c>
      <c r="C11" s="2">
        <v>38.565511471738397</v>
      </c>
      <c r="D11" s="2">
        <v>46.096311968605399</v>
      </c>
      <c r="E11" s="2">
        <v>12.806798700402201</v>
      </c>
      <c r="F11" s="2">
        <v>59.363505337273502</v>
      </c>
      <c r="G11" s="2">
        <v>59.449479243226698</v>
      </c>
      <c r="H11" s="2">
        <v>56.213303640199797</v>
      </c>
      <c r="I11" s="2">
        <v>37.377733983915597</v>
      </c>
    </row>
    <row r="12" spans="1:12" x14ac:dyDescent="0.45">
      <c r="A12">
        <v>90</v>
      </c>
      <c r="B12" s="2">
        <v>65.897444698789599</v>
      </c>
      <c r="C12" s="2">
        <v>54.097272759304502</v>
      </c>
      <c r="D12" s="2">
        <v>58.326343696763097</v>
      </c>
      <c r="E12" s="2">
        <v>30.1566185104979</v>
      </c>
      <c r="F12" s="2">
        <v>69.663483634852</v>
      </c>
      <c r="G12" s="2">
        <v>77.354255471040602</v>
      </c>
      <c r="H12" s="2">
        <v>67.142051628803003</v>
      </c>
      <c r="I12" s="2">
        <v>50.115071590309903</v>
      </c>
    </row>
    <row r="13" spans="1:12" x14ac:dyDescent="0.45">
      <c r="A13">
        <v>100</v>
      </c>
      <c r="B13">
        <v>100</v>
      </c>
      <c r="C13">
        <v>100</v>
      </c>
      <c r="D13">
        <v>100</v>
      </c>
      <c r="E13">
        <v>100</v>
      </c>
      <c r="F13">
        <v>100</v>
      </c>
      <c r="G13">
        <v>100</v>
      </c>
      <c r="H13">
        <v>100</v>
      </c>
      <c r="I13">
        <v>100</v>
      </c>
    </row>
  </sheetData>
  <mergeCells count="1">
    <mergeCell ref="A1:I1"/>
  </mergeCells>
  <pageMargins left="0.7" right="0.7" top="0.75" bottom="0.75" header="0.51180555555555496" footer="0.51180555555555496"/>
  <pageSetup scale="38" firstPageNumber="0" orientation="portrait" horizontalDpi="4294967295" verticalDpi="4294967295"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P15"/>
  <sheetViews>
    <sheetView zoomScaleNormal="100" workbookViewId="0">
      <selection activeCell="P3" activeCellId="2" sqref="B3:B12 C3:C12 P3:P12"/>
    </sheetView>
  </sheetViews>
  <sheetFormatPr defaultRowHeight="14.25" x14ac:dyDescent="0.45"/>
  <cols>
    <col min="1" max="3" width="8.3984375"/>
    <col min="4" max="4" width="11.59765625"/>
    <col min="5" max="5" width="12"/>
    <col min="6" max="6" width="12.3984375"/>
    <col min="7" max="7" width="12.86328125"/>
    <col min="8" max="1025" width="8.3984375"/>
  </cols>
  <sheetData>
    <row r="1" spans="1:16" x14ac:dyDescent="0.45">
      <c r="A1" s="92" t="s">
        <v>106</v>
      </c>
      <c r="B1" s="92"/>
      <c r="C1" s="92"/>
      <c r="D1" s="92"/>
      <c r="E1" s="92"/>
      <c r="F1" s="92"/>
      <c r="G1" s="92"/>
    </row>
    <row r="2" spans="1:16" x14ac:dyDescent="0.45">
      <c r="B2" t="s">
        <v>107</v>
      </c>
      <c r="C2" t="s">
        <v>108</v>
      </c>
      <c r="D2" t="s">
        <v>109</v>
      </c>
      <c r="E2" t="s">
        <v>110</v>
      </c>
      <c r="F2" t="s">
        <v>111</v>
      </c>
      <c r="G2" t="s">
        <v>112</v>
      </c>
    </row>
    <row r="3" spans="1:16" x14ac:dyDescent="0.45">
      <c r="A3">
        <v>1988</v>
      </c>
      <c r="B3" s="2">
        <v>0.40772103999999998</v>
      </c>
      <c r="C3" s="2">
        <v>0.57213985000000001</v>
      </c>
      <c r="D3" s="2">
        <v>0.43037421999999997</v>
      </c>
      <c r="E3" s="2">
        <v>0.48490092000000001</v>
      </c>
      <c r="F3" s="2">
        <v>0.3523693</v>
      </c>
      <c r="G3" s="2">
        <v>0.77293948999999995</v>
      </c>
      <c r="P3">
        <v>0.74615456000000002</v>
      </c>
    </row>
    <row r="4" spans="1:16" x14ac:dyDescent="0.45">
      <c r="A4">
        <v>1991</v>
      </c>
      <c r="B4" s="2">
        <v>0.47169589000000001</v>
      </c>
      <c r="C4" s="2">
        <v>0.60945499000000003</v>
      </c>
      <c r="D4" s="2">
        <v>0.43286338000000002</v>
      </c>
      <c r="E4" s="2">
        <v>0.53509099999999998</v>
      </c>
      <c r="F4" s="2">
        <v>0.30860388</v>
      </c>
      <c r="G4" s="2">
        <v>0.73127003000000002</v>
      </c>
      <c r="P4">
        <v>0.79778534000000001</v>
      </c>
    </row>
    <row r="5" spans="1:16" x14ac:dyDescent="0.45">
      <c r="A5">
        <v>1994</v>
      </c>
      <c r="B5" s="2">
        <v>0.48462608000000001</v>
      </c>
      <c r="C5" s="2">
        <v>0.69922569000000001</v>
      </c>
      <c r="D5" s="2">
        <v>0.42409281999999998</v>
      </c>
      <c r="E5" s="2">
        <v>0.63005253999999999</v>
      </c>
      <c r="F5" s="2">
        <v>0.27821686000000001</v>
      </c>
      <c r="G5" s="2">
        <v>0.62780393000000001</v>
      </c>
      <c r="P5">
        <v>0.82760213000000005</v>
      </c>
    </row>
    <row r="6" spans="1:16" x14ac:dyDescent="0.45">
      <c r="A6">
        <v>1997</v>
      </c>
      <c r="B6" s="2">
        <v>0.45948441000000001</v>
      </c>
      <c r="C6" s="2">
        <v>0.63265492000000001</v>
      </c>
      <c r="D6" s="2">
        <v>0.45948441000000001</v>
      </c>
      <c r="E6" s="2">
        <v>0.63265492000000001</v>
      </c>
      <c r="F6" s="2">
        <v>0.45948441000000001</v>
      </c>
      <c r="G6" s="2">
        <v>0.63265492000000001</v>
      </c>
      <c r="P6">
        <v>0.80235212</v>
      </c>
    </row>
    <row r="7" spans="1:16" x14ac:dyDescent="0.45">
      <c r="A7">
        <v>2000</v>
      </c>
      <c r="B7" s="2">
        <v>0.46627924999999998</v>
      </c>
      <c r="C7" s="2">
        <v>0.53838076000000001</v>
      </c>
      <c r="D7" s="2">
        <v>0.42332775</v>
      </c>
      <c r="E7" s="2">
        <v>0.46387351999999998</v>
      </c>
      <c r="F7" s="2">
        <v>0.27512140000000002</v>
      </c>
      <c r="G7" s="2">
        <v>0.59614018999999996</v>
      </c>
      <c r="P7">
        <v>0.81635913999999998</v>
      </c>
    </row>
    <row r="8" spans="1:16" x14ac:dyDescent="0.45">
      <c r="A8">
        <v>2003</v>
      </c>
      <c r="B8" s="2">
        <v>0.45886858000000003</v>
      </c>
      <c r="C8" s="2">
        <v>0.46662073999999998</v>
      </c>
      <c r="D8" s="2">
        <v>0.41547597000000003</v>
      </c>
      <c r="E8" s="2">
        <v>0.42608836999999999</v>
      </c>
      <c r="F8" s="2">
        <v>0.25225481999999999</v>
      </c>
      <c r="G8" s="2">
        <v>0.46861710000000001</v>
      </c>
      <c r="P8">
        <v>0.76392006000000001</v>
      </c>
    </row>
    <row r="9" spans="1:16" x14ac:dyDescent="0.45">
      <c r="A9">
        <v>2006</v>
      </c>
      <c r="B9" s="2">
        <v>0.47775121999999998</v>
      </c>
      <c r="C9" s="2">
        <v>0.40081454</v>
      </c>
      <c r="D9" s="2">
        <v>0.42545021</v>
      </c>
      <c r="E9" s="2">
        <v>0.38872126000000001</v>
      </c>
      <c r="F9" s="2">
        <v>0.28127221000000002</v>
      </c>
      <c r="G9" s="2">
        <v>0.50519981999999997</v>
      </c>
      <c r="P9">
        <v>0.70058591999999997</v>
      </c>
    </row>
    <row r="10" spans="1:16" x14ac:dyDescent="0.45">
      <c r="A10">
        <v>2009</v>
      </c>
      <c r="B10" s="2">
        <v>0.52451130000000001</v>
      </c>
      <c r="C10" s="2">
        <v>0.43984250000000003</v>
      </c>
      <c r="D10" s="2">
        <v>0.41456351000000002</v>
      </c>
      <c r="E10" s="2">
        <v>0.39757938999999998</v>
      </c>
      <c r="F10" s="2">
        <v>0.36023714000000001</v>
      </c>
      <c r="G10" s="2">
        <v>0.36190939999999999</v>
      </c>
      <c r="P10">
        <v>0.68300872999999995</v>
      </c>
    </row>
    <row r="11" spans="1:16" x14ac:dyDescent="0.45">
      <c r="A11">
        <v>2012</v>
      </c>
      <c r="B11" s="2">
        <v>0.44818654000000002</v>
      </c>
      <c r="C11" s="2">
        <v>0.49024216999999998</v>
      </c>
      <c r="D11" s="2">
        <v>0.41845885999999999</v>
      </c>
      <c r="E11" s="2">
        <v>0.46864943999999997</v>
      </c>
      <c r="F11" s="2">
        <v>0.26825972999999997</v>
      </c>
      <c r="G11" s="2">
        <v>0.59502451999999995</v>
      </c>
      <c r="P11">
        <v>0.71586494000000001</v>
      </c>
    </row>
    <row r="12" spans="1:16" x14ac:dyDescent="0.45">
      <c r="A12">
        <v>2015</v>
      </c>
      <c r="B12" s="2">
        <v>0.45514924000000001</v>
      </c>
      <c r="C12" s="2">
        <v>0.39471795999999998</v>
      </c>
      <c r="D12" s="2">
        <v>0.41502581999999999</v>
      </c>
      <c r="E12" s="2">
        <v>0.36464380000000002</v>
      </c>
      <c r="F12" s="2">
        <v>0.25401386999999997</v>
      </c>
      <c r="G12" s="2">
        <v>0.46427220000000002</v>
      </c>
      <c r="P12">
        <v>0.67268733000000003</v>
      </c>
    </row>
    <row r="14" spans="1:16" x14ac:dyDescent="0.45">
      <c r="B14">
        <f>MAX(B3:B12)</f>
        <v>0.52451130000000001</v>
      </c>
      <c r="C14">
        <f>MAX(C3:C12)</f>
        <v>0.69922569000000001</v>
      </c>
      <c r="P14">
        <f>MAX(P3:P12)</f>
        <v>0.82760213000000005</v>
      </c>
    </row>
    <row r="15" spans="1:16" x14ac:dyDescent="0.45">
      <c r="B15">
        <f>MIN(B3:B12)</f>
        <v>0.40772103999999998</v>
      </c>
      <c r="C15">
        <f>MIN(C3:C12)</f>
        <v>0.39471795999999998</v>
      </c>
      <c r="P15">
        <f>MIN(P3:P12)</f>
        <v>0.67268733000000003</v>
      </c>
    </row>
  </sheetData>
  <mergeCells count="1">
    <mergeCell ref="A1:G1"/>
  </mergeCells>
  <pageMargins left="0.7" right="0.7" top="0.75" bottom="0.75" header="0.51180555555555496" footer="0.51180555555555496"/>
  <pageSetup scale="41" firstPageNumber="0"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Z42"/>
  <sheetViews>
    <sheetView zoomScale="60" zoomScaleNormal="60" workbookViewId="0">
      <selection activeCell="A7" sqref="A7"/>
    </sheetView>
  </sheetViews>
  <sheetFormatPr defaultRowHeight="14.25" x14ac:dyDescent="0.45"/>
  <cols>
    <col min="2" max="2" width="10.86328125"/>
    <col min="3" max="4" width="31"/>
    <col min="5" max="5" width="46" bestFit="1" customWidth="1"/>
    <col min="6" max="6" width="12.59765625"/>
    <col min="7" max="8" width="21.86328125"/>
    <col min="9" max="9" width="20.86328125"/>
    <col min="10" max="10" width="21.86328125"/>
    <col min="11" max="11" width="8.3984375"/>
    <col min="14" max="14" width="6.265625" bestFit="1" customWidth="1"/>
    <col min="15" max="15" width="12" bestFit="1" customWidth="1"/>
    <col min="16" max="16" width="30.59765625" bestFit="1" customWidth="1"/>
    <col min="17" max="17" width="12.59765625" bestFit="1" customWidth="1"/>
    <col min="18" max="18" width="7.73046875" bestFit="1" customWidth="1"/>
    <col min="19" max="20" width="7.73046875" customWidth="1"/>
    <col min="21" max="21" width="12.3984375" bestFit="1" customWidth="1"/>
    <col min="22" max="22" width="20.86328125" bestFit="1" customWidth="1"/>
    <col min="23" max="23" width="17.3984375" customWidth="1"/>
    <col min="24" max="27" width="24.73046875" customWidth="1"/>
    <col min="28" max="28" width="16.3984375" customWidth="1"/>
    <col min="29" max="29" width="20.265625" customWidth="1"/>
    <col min="30" max="32" width="8.73046875" customWidth="1"/>
    <col min="33" max="33" width="12.3984375" bestFit="1" customWidth="1"/>
    <col min="34" max="34" width="20.86328125" bestFit="1" customWidth="1"/>
    <col min="38" max="38" width="11.265625" bestFit="1" customWidth="1"/>
    <col min="39" max="39" width="30.59765625" bestFit="1" customWidth="1"/>
    <col min="40" max="40" width="20.1328125" bestFit="1" customWidth="1"/>
    <col min="41" max="41" width="31.59765625" bestFit="1" customWidth="1"/>
    <col min="42" max="45" width="12.59765625" customWidth="1"/>
    <col min="46" max="46" width="20.86328125" bestFit="1" customWidth="1"/>
    <col min="47" max="47" width="37.265625" bestFit="1" customWidth="1"/>
    <col min="48" max="48" width="19.86328125" customWidth="1"/>
    <col min="49" max="49" width="22.59765625" bestFit="1" customWidth="1"/>
    <col min="50" max="52" width="19.86328125" customWidth="1"/>
    <col min="53" max="54" width="24.265625" customWidth="1"/>
    <col min="55" max="55" width="13.73046875" customWidth="1"/>
    <col min="56" max="56" width="20.1328125" bestFit="1" customWidth="1"/>
    <col min="57" max="60" width="19.59765625" customWidth="1"/>
    <col min="61" max="61" width="28.73046875" bestFit="1" customWidth="1"/>
    <col min="64" max="64" width="10.86328125" customWidth="1"/>
    <col min="65" max="65" width="35.86328125"/>
    <col min="66" max="66" width="12.86328125"/>
    <col min="70" max="70" width="12.3984375" bestFit="1" customWidth="1"/>
    <col min="71" max="71" width="20.86328125" bestFit="1" customWidth="1"/>
    <col min="72" max="72" width="21.59765625"/>
    <col min="76" max="76" width="21.59765625"/>
    <col min="77" max="77" width="8.3984375"/>
    <col min="78" max="78" width="14.1328125"/>
    <col min="82" max="82" width="12.3984375" bestFit="1" customWidth="1"/>
    <col min="83" max="83" width="20.86328125" bestFit="1" customWidth="1"/>
    <col min="87" max="87" width="44.1328125" bestFit="1" customWidth="1"/>
    <col min="88" max="88" width="32.265625" bestFit="1" customWidth="1"/>
    <col min="89" max="89" width="63.73046875" bestFit="1" customWidth="1"/>
    <col min="93" max="93" width="12.3984375" bestFit="1" customWidth="1"/>
    <col min="94" max="94" width="40.59765625" bestFit="1" customWidth="1"/>
    <col min="95" max="95" width="72.73046875" bestFit="1" customWidth="1"/>
    <col min="96" max="96" width="10.1328125" customWidth="1"/>
    <col min="97" max="97" width="39.3984375" bestFit="1" customWidth="1"/>
    <col min="98" max="99" width="10.3984375" bestFit="1" customWidth="1"/>
    <col min="100" max="100" width="9.1328125" customWidth="1"/>
    <col min="101" max="101" width="12.3984375" bestFit="1" customWidth="1"/>
    <col min="102" max="102" width="48.3984375" bestFit="1" customWidth="1"/>
    <col min="104" max="104" width="32.265625" bestFit="1" customWidth="1"/>
    <col min="108" max="108" width="12.3984375" bestFit="1" customWidth="1"/>
    <col min="109" max="109" width="40.59765625" bestFit="1" customWidth="1"/>
    <col min="111" max="112" width="8.3984375"/>
    <col min="113" max="113" width="9.1328125" bestFit="1" customWidth="1"/>
    <col min="114" max="114" width="34.3984375" bestFit="1" customWidth="1"/>
    <col min="115" max="115" width="34.3984375" customWidth="1"/>
    <col min="116" max="116" width="12.1328125" bestFit="1" customWidth="1"/>
    <col min="117" max="117" width="37.59765625" bestFit="1" customWidth="1"/>
    <col min="118" max="118" width="37.59765625" customWidth="1"/>
    <col min="119" max="119" width="34.1328125" bestFit="1" customWidth="1"/>
    <col min="120" max="120" width="35" bestFit="1" customWidth="1"/>
    <col min="121" max="121" width="35" customWidth="1"/>
    <col min="122" max="122" width="7.73046875" bestFit="1" customWidth="1"/>
    <col min="123" max="123" width="15.265625" bestFit="1" customWidth="1"/>
    <col min="124" max="124" width="19.86328125" customWidth="1"/>
    <col min="125" max="125" width="28" bestFit="1" customWidth="1"/>
    <col min="126" max="126" width="9.1328125" bestFit="1" customWidth="1"/>
    <col min="127" max="127" width="18" bestFit="1" customWidth="1"/>
    <col min="128" max="128" width="27.59765625" bestFit="1" customWidth="1"/>
    <col min="129" max="129" width="28.86328125" bestFit="1" customWidth="1"/>
    <col min="130" max="130" width="8.73046875" bestFit="1" customWidth="1"/>
    <col min="131" max="131" width="15.265625" bestFit="1" customWidth="1"/>
    <col min="132" max="132" width="21.265625" bestFit="1" customWidth="1"/>
    <col min="133" max="133" width="7.73046875" bestFit="1" customWidth="1"/>
    <col min="134" max="134" width="10.3984375" bestFit="1" customWidth="1"/>
    <col min="135" max="135" width="19.1328125" bestFit="1" customWidth="1"/>
    <col min="136" max="136" width="7.73046875" bestFit="1" customWidth="1"/>
    <col min="137" max="137" width="15.265625" bestFit="1" customWidth="1"/>
    <col min="138" max="138" width="19.3984375" bestFit="1" customWidth="1"/>
    <col min="139" max="139" width="27.86328125" bestFit="1" customWidth="1"/>
    <col min="140" max="141" width="8.3984375"/>
    <col min="143" max="143" width="12.1328125" bestFit="1" customWidth="1"/>
    <col min="144" max="144" width="9.1328125" bestFit="1" customWidth="1"/>
    <col min="145" max="145" width="13.59765625" customWidth="1"/>
    <col min="146" max="146" width="20.265625" bestFit="1" customWidth="1"/>
    <col min="147" max="147" width="10.86328125" customWidth="1"/>
    <col min="148" max="148" width="12.1328125" bestFit="1" customWidth="1"/>
    <col min="149" max="150" width="13.73046875" customWidth="1"/>
    <col min="151" max="151" width="20.86328125" bestFit="1" customWidth="1"/>
    <col min="152" max="152" width="7.1328125" bestFit="1" customWidth="1"/>
    <col min="153" max="153" width="12.1328125" bestFit="1" customWidth="1"/>
    <col min="154" max="154" width="8.3984375"/>
    <col min="155" max="155" width="12.1328125" bestFit="1" customWidth="1"/>
    <col min="156" max="156" width="20.265625" bestFit="1" customWidth="1"/>
    <col min="157" max="1083" width="8.3984375"/>
  </cols>
  <sheetData>
    <row r="1" spans="1:156" ht="25.5" x14ac:dyDescent="0.75">
      <c r="B1" s="84" t="s">
        <v>153</v>
      </c>
      <c r="C1" s="84"/>
      <c r="D1" s="84"/>
      <c r="E1" s="84"/>
      <c r="F1" s="84"/>
      <c r="G1" s="84"/>
      <c r="H1" s="84"/>
      <c r="I1" s="84"/>
      <c r="J1" s="84"/>
      <c r="K1" s="84"/>
      <c r="L1" s="69"/>
      <c r="M1" s="69"/>
      <c r="O1" s="84" t="s">
        <v>124</v>
      </c>
      <c r="P1" s="84"/>
      <c r="Q1" s="84"/>
      <c r="R1" s="84"/>
      <c r="S1" s="84"/>
      <c r="T1" s="84"/>
      <c r="U1" s="84"/>
      <c r="V1" s="84"/>
      <c r="W1" s="84"/>
      <c r="X1" s="84"/>
      <c r="Y1" s="84"/>
      <c r="Z1" s="84"/>
      <c r="AA1" s="84"/>
      <c r="AB1" s="84"/>
      <c r="AC1" s="84"/>
      <c r="AD1" s="84"/>
      <c r="AE1" s="84"/>
      <c r="AF1" s="84"/>
      <c r="AG1" s="84"/>
      <c r="AH1" s="84"/>
      <c r="AI1" s="69"/>
      <c r="AJ1" s="69"/>
      <c r="AL1" s="90" t="s">
        <v>13</v>
      </c>
      <c r="AM1" s="90"/>
      <c r="AN1" s="90"/>
      <c r="AO1" s="90"/>
      <c r="AP1" s="90"/>
      <c r="AQ1" s="90"/>
      <c r="AR1" s="90"/>
      <c r="AS1" s="90"/>
      <c r="AT1" s="90"/>
      <c r="AU1" s="90"/>
      <c r="AV1" s="90"/>
      <c r="AW1" s="90"/>
      <c r="AX1" s="90"/>
      <c r="AY1" s="90"/>
      <c r="AZ1" s="90"/>
      <c r="BA1" s="90"/>
      <c r="BB1" s="90"/>
      <c r="BC1" s="90"/>
      <c r="BD1" s="90"/>
      <c r="BE1" s="90"/>
      <c r="BF1" s="90"/>
      <c r="BG1" s="90"/>
      <c r="BH1" s="90"/>
      <c r="BI1" s="90"/>
      <c r="BJ1" s="69"/>
      <c r="BK1" s="69"/>
      <c r="BL1" s="84" t="s">
        <v>154</v>
      </c>
      <c r="BM1" s="84"/>
      <c r="BN1" s="84"/>
      <c r="BO1" s="84"/>
      <c r="BP1" s="84"/>
      <c r="BQ1" s="84"/>
      <c r="BR1" s="84"/>
      <c r="BS1" s="84"/>
      <c r="BT1" s="84"/>
      <c r="BU1" s="84"/>
      <c r="BV1" s="84"/>
      <c r="BW1" s="84"/>
      <c r="BX1" s="84"/>
      <c r="BY1" s="84"/>
      <c r="BZ1" s="84"/>
      <c r="CA1" s="84"/>
      <c r="CB1" s="84"/>
      <c r="CC1" s="84"/>
      <c r="CD1" s="84"/>
      <c r="CE1" s="84"/>
      <c r="CF1" s="73"/>
      <c r="CG1" s="73"/>
      <c r="CH1" s="84" t="s">
        <v>165</v>
      </c>
      <c r="CI1" s="84"/>
      <c r="CJ1" s="84"/>
      <c r="CK1" s="84"/>
      <c r="CL1" s="84"/>
      <c r="CM1" s="84"/>
      <c r="CN1" s="84"/>
      <c r="CO1" s="84"/>
      <c r="CP1" s="84"/>
      <c r="CQ1" s="84"/>
      <c r="CR1" s="84"/>
      <c r="CS1" s="84"/>
      <c r="CT1" s="84"/>
      <c r="CU1" s="84"/>
      <c r="CV1" s="84"/>
      <c r="CW1" s="84"/>
      <c r="CX1" s="84"/>
      <c r="CY1" s="84"/>
      <c r="CZ1" s="84"/>
      <c r="DA1" s="84"/>
      <c r="DB1" s="84"/>
      <c r="DC1" s="84"/>
      <c r="DD1" s="84"/>
      <c r="DE1" s="84"/>
      <c r="DF1" s="73"/>
      <c r="DI1" s="84" t="s">
        <v>328</v>
      </c>
      <c r="DJ1" s="84"/>
      <c r="DK1" s="84"/>
      <c r="DL1" s="84"/>
      <c r="DM1" s="84"/>
      <c r="DN1" s="84"/>
      <c r="DO1" s="84"/>
      <c r="DP1" s="84"/>
      <c r="DQ1" s="84"/>
      <c r="DR1" s="84"/>
      <c r="DS1" s="84"/>
      <c r="DT1" s="84"/>
      <c r="DU1" s="84"/>
      <c r="DV1" s="84"/>
      <c r="DW1" s="84"/>
      <c r="DX1" s="84"/>
      <c r="DY1" s="84"/>
      <c r="DZ1" s="84"/>
      <c r="EA1" s="84"/>
      <c r="EB1" s="84"/>
      <c r="EC1" s="84"/>
      <c r="ED1" s="84"/>
      <c r="EE1" s="84"/>
      <c r="EF1" s="84"/>
      <c r="EG1" s="84"/>
      <c r="EH1" s="84"/>
      <c r="EI1" s="84"/>
      <c r="EL1" s="84" t="s">
        <v>16</v>
      </c>
      <c r="EM1" s="84"/>
      <c r="EN1" s="84"/>
      <c r="EO1" s="84"/>
      <c r="EP1" s="84"/>
      <c r="EQ1" s="84"/>
      <c r="ER1" s="84"/>
      <c r="ES1" s="84"/>
      <c r="ET1" s="84"/>
      <c r="EU1" s="84"/>
      <c r="EV1" s="84"/>
      <c r="EW1" s="84"/>
      <c r="EX1" s="84"/>
      <c r="EY1" s="84"/>
      <c r="EZ1" s="84"/>
    </row>
    <row r="2" spans="1:156" x14ac:dyDescent="0.45">
      <c r="B2" s="89" t="s">
        <v>155</v>
      </c>
      <c r="C2" s="89"/>
      <c r="D2" s="89"/>
      <c r="E2" s="89"/>
      <c r="F2" s="89"/>
      <c r="G2" s="89" t="s">
        <v>156</v>
      </c>
      <c r="H2" s="89"/>
      <c r="I2" s="89" t="s">
        <v>157</v>
      </c>
      <c r="J2" s="89"/>
      <c r="K2" s="89"/>
      <c r="L2" s="68"/>
      <c r="M2" s="68"/>
      <c r="O2" s="85" t="s">
        <v>155</v>
      </c>
      <c r="P2" s="85"/>
      <c r="Q2" s="85"/>
      <c r="R2" s="85"/>
      <c r="S2" s="85"/>
      <c r="T2" s="85"/>
      <c r="U2" s="85"/>
      <c r="V2" s="85"/>
      <c r="W2" s="86" t="s">
        <v>156</v>
      </c>
      <c r="X2" s="86"/>
      <c r="Y2" s="86"/>
      <c r="Z2" s="86"/>
      <c r="AA2" s="86"/>
      <c r="AB2" s="87" t="s">
        <v>157</v>
      </c>
      <c r="AC2" s="87"/>
      <c r="AD2" s="87"/>
      <c r="AE2" s="87"/>
      <c r="AF2" s="87"/>
      <c r="AG2" s="87"/>
      <c r="AH2" s="87"/>
      <c r="AI2" s="68"/>
      <c r="AJ2" s="68"/>
      <c r="AL2" s="85" t="s">
        <v>155</v>
      </c>
      <c r="AM2" s="85"/>
      <c r="AN2" s="85"/>
      <c r="AO2" s="85"/>
      <c r="AP2" s="85"/>
      <c r="AQ2" s="85"/>
      <c r="AR2" s="85"/>
      <c r="AS2" s="85"/>
      <c r="AT2" s="85"/>
      <c r="AU2" s="75"/>
      <c r="AV2" s="86" t="s">
        <v>156</v>
      </c>
      <c r="AW2" s="86"/>
      <c r="AX2" s="86"/>
      <c r="AY2" s="86"/>
      <c r="AZ2" s="86"/>
      <c r="BA2" s="86"/>
      <c r="BB2" s="80"/>
      <c r="BC2" s="87" t="s">
        <v>157</v>
      </c>
      <c r="BD2" s="87"/>
      <c r="BE2" s="87"/>
      <c r="BF2" s="87"/>
      <c r="BG2" s="87"/>
      <c r="BH2" s="87"/>
      <c r="BI2" s="87"/>
      <c r="BJ2" s="68"/>
      <c r="BK2" s="68"/>
      <c r="BL2" s="85" t="s">
        <v>155</v>
      </c>
      <c r="BM2" s="85"/>
      <c r="BN2" s="85"/>
      <c r="BO2" s="85"/>
      <c r="BP2" s="85"/>
      <c r="BQ2" s="85"/>
      <c r="BR2" s="85"/>
      <c r="BS2" s="85"/>
      <c r="BT2" s="86" t="s">
        <v>156</v>
      </c>
      <c r="BU2" s="86"/>
      <c r="BV2" s="86"/>
      <c r="BW2" s="86"/>
      <c r="BX2" s="86"/>
      <c r="BY2" s="87" t="s">
        <v>157</v>
      </c>
      <c r="BZ2" s="87"/>
      <c r="CA2" s="87"/>
      <c r="CB2" s="87"/>
      <c r="CC2" s="87"/>
      <c r="CD2" s="87"/>
      <c r="CE2" s="87"/>
      <c r="CF2" s="74"/>
      <c r="CG2" s="74"/>
      <c r="CH2" s="85" t="s">
        <v>155</v>
      </c>
      <c r="CI2" s="85"/>
      <c r="CJ2" s="85"/>
      <c r="CK2" s="85"/>
      <c r="CL2" s="85"/>
      <c r="CM2" s="85"/>
      <c r="CN2" s="85"/>
      <c r="CO2" s="85"/>
      <c r="CP2" s="85"/>
      <c r="CQ2" s="75"/>
      <c r="CR2" s="86" t="s">
        <v>156</v>
      </c>
      <c r="CS2" s="86"/>
      <c r="CT2" s="86"/>
      <c r="CU2" s="86"/>
      <c r="CV2" s="86"/>
      <c r="CW2" s="86"/>
      <c r="CX2" s="76"/>
      <c r="CY2" s="87" t="s">
        <v>157</v>
      </c>
      <c r="CZ2" s="87"/>
      <c r="DA2" s="87"/>
      <c r="DB2" s="87"/>
      <c r="DC2" s="87"/>
      <c r="DD2" s="87"/>
      <c r="DE2" s="87"/>
      <c r="DF2" s="74"/>
      <c r="DI2" s="85" t="s">
        <v>155</v>
      </c>
      <c r="DJ2" s="85"/>
      <c r="DK2" s="85"/>
      <c r="DL2" s="85"/>
      <c r="DM2" s="85"/>
      <c r="DN2" s="85"/>
      <c r="DO2" s="85"/>
      <c r="DP2" s="85"/>
      <c r="DQ2" s="85"/>
      <c r="DR2" s="85"/>
      <c r="DS2" s="85"/>
      <c r="DT2" s="85"/>
      <c r="DU2" s="85"/>
      <c r="DV2" s="86" t="s">
        <v>156</v>
      </c>
      <c r="DW2" s="86"/>
      <c r="DX2" s="86"/>
      <c r="DY2" s="86"/>
      <c r="DZ2" s="86"/>
      <c r="EA2" s="86"/>
      <c r="EB2" s="86"/>
      <c r="EC2" s="87" t="s">
        <v>157</v>
      </c>
      <c r="ED2" s="87"/>
      <c r="EE2" s="87"/>
      <c r="EF2" s="87"/>
      <c r="EG2" s="87"/>
      <c r="EH2" s="87"/>
      <c r="EI2" s="87"/>
      <c r="EL2" s="85" t="s">
        <v>155</v>
      </c>
      <c r="EM2" s="85"/>
      <c r="EN2" s="85"/>
      <c r="EO2" s="85"/>
      <c r="EP2" s="85"/>
      <c r="EQ2" s="86" t="s">
        <v>156</v>
      </c>
      <c r="ER2" s="86"/>
      <c r="ES2" s="86"/>
      <c r="ET2" s="86"/>
      <c r="EU2" s="86"/>
      <c r="EV2" s="87" t="s">
        <v>157</v>
      </c>
      <c r="EW2" s="87"/>
      <c r="EX2" s="87"/>
      <c r="EY2" s="87"/>
      <c r="EZ2" s="87"/>
    </row>
    <row r="3" spans="1:156" x14ac:dyDescent="0.45">
      <c r="A3" t="s">
        <v>158</v>
      </c>
      <c r="B3" t="s">
        <v>3</v>
      </c>
      <c r="C3" t="s">
        <v>159</v>
      </c>
      <c r="D3" t="s">
        <v>160</v>
      </c>
      <c r="E3" s="72" t="s">
        <v>301</v>
      </c>
      <c r="F3" t="s">
        <v>4</v>
      </c>
      <c r="G3" t="s">
        <v>3</v>
      </c>
      <c r="H3" t="s">
        <v>4</v>
      </c>
      <c r="I3" t="s">
        <v>18</v>
      </c>
      <c r="J3" t="s">
        <v>160</v>
      </c>
      <c r="K3" t="s">
        <v>4</v>
      </c>
      <c r="N3" t="s">
        <v>158</v>
      </c>
      <c r="O3" t="s">
        <v>3</v>
      </c>
      <c r="P3" t="s">
        <v>159</v>
      </c>
      <c r="Q3" t="s">
        <v>160</v>
      </c>
      <c r="R3" t="s">
        <v>4</v>
      </c>
      <c r="S3" t="s">
        <v>302</v>
      </c>
      <c r="T3" t="s">
        <v>303</v>
      </c>
      <c r="U3" t="s">
        <v>304</v>
      </c>
      <c r="V3" t="s">
        <v>305</v>
      </c>
      <c r="W3" t="s">
        <v>3</v>
      </c>
      <c r="X3" t="s">
        <v>4</v>
      </c>
      <c r="Y3" t="s">
        <v>302</v>
      </c>
      <c r="Z3" t="s">
        <v>303</v>
      </c>
      <c r="AA3" t="s">
        <v>304</v>
      </c>
      <c r="AB3" t="s">
        <v>18</v>
      </c>
      <c r="AC3" t="s">
        <v>160</v>
      </c>
      <c r="AD3" t="s">
        <v>4</v>
      </c>
      <c r="AE3" t="s">
        <v>302</v>
      </c>
      <c r="AF3" t="s">
        <v>303</v>
      </c>
      <c r="AG3" t="s">
        <v>304</v>
      </c>
      <c r="AH3" t="s">
        <v>305</v>
      </c>
      <c r="AK3" t="s">
        <v>158</v>
      </c>
      <c r="AL3" t="s">
        <v>3</v>
      </c>
      <c r="AM3" t="s">
        <v>159</v>
      </c>
      <c r="AN3" t="s">
        <v>310</v>
      </c>
      <c r="AO3" t="s">
        <v>308</v>
      </c>
      <c r="AP3" t="s">
        <v>4</v>
      </c>
      <c r="AQ3" t="s">
        <v>302</v>
      </c>
      <c r="AR3" t="s">
        <v>303</v>
      </c>
      <c r="AS3" t="s">
        <v>304</v>
      </c>
      <c r="AT3" t="s">
        <v>305</v>
      </c>
      <c r="AU3" t="s">
        <v>309</v>
      </c>
      <c r="AV3" t="s">
        <v>3</v>
      </c>
      <c r="AW3" t="s">
        <v>307</v>
      </c>
      <c r="AX3" t="s">
        <v>4</v>
      </c>
      <c r="AY3" t="s">
        <v>302</v>
      </c>
      <c r="AZ3" t="s">
        <v>303</v>
      </c>
      <c r="BA3" t="s">
        <v>304</v>
      </c>
      <c r="BB3" t="s">
        <v>326</v>
      </c>
      <c r="BC3" t="s">
        <v>18</v>
      </c>
      <c r="BD3" t="s">
        <v>310</v>
      </c>
      <c r="BE3" t="s">
        <v>4</v>
      </c>
      <c r="BF3" t="s">
        <v>302</v>
      </c>
      <c r="BG3" t="s">
        <v>303</v>
      </c>
      <c r="BH3" t="s">
        <v>304</v>
      </c>
      <c r="BI3" t="s">
        <v>311</v>
      </c>
      <c r="BL3" t="s">
        <v>3</v>
      </c>
      <c r="BM3" t="s">
        <v>161</v>
      </c>
      <c r="BN3" t="s">
        <v>160</v>
      </c>
      <c r="BO3" t="s">
        <v>4</v>
      </c>
      <c r="BP3" t="s">
        <v>302</v>
      </c>
      <c r="BQ3" t="s">
        <v>303</v>
      </c>
      <c r="BR3" t="s">
        <v>304</v>
      </c>
      <c r="BS3" t="s">
        <v>305</v>
      </c>
      <c r="BT3" t="s">
        <v>3</v>
      </c>
      <c r="BU3" t="s">
        <v>4</v>
      </c>
      <c r="BV3" t="s">
        <v>302</v>
      </c>
      <c r="BW3" t="s">
        <v>303</v>
      </c>
      <c r="BX3" t="s">
        <v>304</v>
      </c>
      <c r="BY3" t="s">
        <v>18</v>
      </c>
      <c r="BZ3" t="s">
        <v>160</v>
      </c>
      <c r="CA3" t="s">
        <v>4</v>
      </c>
      <c r="CB3" t="s">
        <v>302</v>
      </c>
      <c r="CC3" t="s">
        <v>303</v>
      </c>
      <c r="CD3" t="s">
        <v>304</v>
      </c>
      <c r="CE3" t="s">
        <v>305</v>
      </c>
      <c r="CH3" t="s">
        <v>3</v>
      </c>
      <c r="CI3" t="s">
        <v>306</v>
      </c>
      <c r="CJ3" t="s">
        <v>313</v>
      </c>
      <c r="CK3" t="s">
        <v>314</v>
      </c>
      <c r="CL3" t="s">
        <v>4</v>
      </c>
      <c r="CM3" t="s">
        <v>302</v>
      </c>
      <c r="CN3" t="s">
        <v>303</v>
      </c>
      <c r="CO3" t="s">
        <v>304</v>
      </c>
      <c r="CP3" t="s">
        <v>315</v>
      </c>
      <c r="CQ3" t="s">
        <v>316</v>
      </c>
      <c r="CR3" t="s">
        <v>3</v>
      </c>
      <c r="CS3" t="s">
        <v>317</v>
      </c>
      <c r="CT3" t="s">
        <v>4</v>
      </c>
      <c r="CU3" t="s">
        <v>302</v>
      </c>
      <c r="CV3" t="s">
        <v>303</v>
      </c>
      <c r="CW3" t="s">
        <v>304</v>
      </c>
      <c r="CX3" t="s">
        <v>318</v>
      </c>
      <c r="CY3" t="s">
        <v>18</v>
      </c>
      <c r="CZ3" t="s">
        <v>313</v>
      </c>
      <c r="DA3" t="s">
        <v>4</v>
      </c>
      <c r="DB3" t="s">
        <v>302</v>
      </c>
      <c r="DC3" t="s">
        <v>303</v>
      </c>
      <c r="DD3" t="s">
        <v>304</v>
      </c>
      <c r="DE3" t="s">
        <v>315</v>
      </c>
      <c r="DI3" t="s">
        <v>3</v>
      </c>
      <c r="DJ3" t="s">
        <v>329</v>
      </c>
      <c r="DK3" t="s">
        <v>339</v>
      </c>
      <c r="DL3" t="s">
        <v>330</v>
      </c>
      <c r="DM3" t="s">
        <v>332</v>
      </c>
      <c r="DN3" t="s">
        <v>331</v>
      </c>
      <c r="DO3" t="s">
        <v>333</v>
      </c>
      <c r="DP3" t="s">
        <v>334</v>
      </c>
      <c r="DQ3" t="s">
        <v>335</v>
      </c>
      <c r="DR3" t="s">
        <v>4</v>
      </c>
      <c r="DS3" t="s">
        <v>340</v>
      </c>
      <c r="DT3" t="s">
        <v>341</v>
      </c>
      <c r="DU3" t="s">
        <v>342</v>
      </c>
      <c r="DV3" t="s">
        <v>3</v>
      </c>
      <c r="DW3" t="s">
        <v>336</v>
      </c>
      <c r="DX3" t="s">
        <v>338</v>
      </c>
      <c r="DY3" t="s">
        <v>337</v>
      </c>
      <c r="DZ3" t="s">
        <v>4</v>
      </c>
      <c r="EA3" t="s">
        <v>340</v>
      </c>
      <c r="EB3" t="s">
        <v>326</v>
      </c>
      <c r="EC3" t="s">
        <v>18</v>
      </c>
      <c r="ED3" t="s">
        <v>330</v>
      </c>
      <c r="EE3" t="s">
        <v>343</v>
      </c>
      <c r="EF3" t="s">
        <v>4</v>
      </c>
      <c r="EG3" t="s">
        <v>340</v>
      </c>
      <c r="EH3" t="s">
        <v>341</v>
      </c>
      <c r="EI3" t="s">
        <v>342</v>
      </c>
      <c r="EL3" t="s">
        <v>3</v>
      </c>
      <c r="EM3" t="s">
        <v>160</v>
      </c>
      <c r="EN3" t="s">
        <v>4</v>
      </c>
      <c r="EO3" t="s">
        <v>304</v>
      </c>
      <c r="EP3" t="s">
        <v>305</v>
      </c>
      <c r="EQ3" t="s">
        <v>3</v>
      </c>
      <c r="ER3" t="s">
        <v>160</v>
      </c>
      <c r="ES3" t="s">
        <v>4</v>
      </c>
      <c r="ET3" t="s">
        <v>304</v>
      </c>
      <c r="EU3" t="s">
        <v>326</v>
      </c>
      <c r="EV3" t="s">
        <v>18</v>
      </c>
      <c r="EW3" t="s">
        <v>160</v>
      </c>
      <c r="EX3" t="s">
        <v>4</v>
      </c>
      <c r="EY3" t="s">
        <v>304</v>
      </c>
      <c r="EZ3" t="s">
        <v>326</v>
      </c>
    </row>
    <row r="4" spans="1:156" x14ac:dyDescent="0.45">
      <c r="A4">
        <v>1988</v>
      </c>
      <c r="B4" s="2">
        <v>158.53366199999999</v>
      </c>
      <c r="C4" s="2">
        <v>143.4</v>
      </c>
      <c r="D4" s="2">
        <f>B4+C4</f>
        <v>301.93366200000003</v>
      </c>
      <c r="E4" s="2">
        <f>C4/B4</f>
        <v>0.90453975635786432</v>
      </c>
      <c r="F4" s="2">
        <v>281.90800000000002</v>
      </c>
      <c r="G4" s="2">
        <v>17700.829000000002</v>
      </c>
      <c r="H4" s="2">
        <v>7728.9366</v>
      </c>
      <c r="I4" s="2">
        <f t="shared" ref="I4:I32" si="0">(B4*10^9)/(G4*10^3)/10^3</f>
        <v>8.9562845898347483</v>
      </c>
      <c r="J4" s="2">
        <f t="shared" ref="J4:J32" si="1">(D4*10^9)/(G4*10^3)/10^3</f>
        <v>17.057600070595562</v>
      </c>
      <c r="K4" s="2">
        <f>(F4*10^9)/(H4*10^3)/10^3</f>
        <v>36.474357934311435</v>
      </c>
      <c r="L4" s="2"/>
      <c r="M4" s="2"/>
      <c r="N4">
        <v>1988</v>
      </c>
      <c r="O4" s="2">
        <v>125.146714</v>
      </c>
      <c r="P4" s="2">
        <f t="shared" ref="P4:P32" si="2">O4*E4</f>
        <v>113.20017819054733</v>
      </c>
      <c r="Q4" s="2">
        <f>O4+P4</f>
        <v>238.34689219054735</v>
      </c>
      <c r="R4" s="2">
        <v>192.24</v>
      </c>
      <c r="S4" s="2">
        <v>137.7497165014021</v>
      </c>
      <c r="T4" s="2">
        <v>248.83161985544791</v>
      </c>
      <c r="U4" s="2">
        <f>100*(R4-O4)/O4</f>
        <v>53.611704099557905</v>
      </c>
      <c r="V4" s="2">
        <f>100*(R4-Q4)/Q4</f>
        <v>-19.344448659178241</v>
      </c>
      <c r="W4" s="2">
        <v>16046.829</v>
      </c>
      <c r="X4" s="2">
        <v>6092.3077999999996</v>
      </c>
      <c r="Y4" s="2">
        <v>5414.5846999999994</v>
      </c>
      <c r="Z4" s="2">
        <v>6824.7029500000008</v>
      </c>
      <c r="AA4" s="2">
        <f>100*(X4-W4)/W4</f>
        <v>-62.0341950425221</v>
      </c>
      <c r="AB4" s="2">
        <f t="shared" ref="AB4:AB32" si="3">(O4*10^9)/(W4*10^3)/10^3</f>
        <v>7.7988438712720125</v>
      </c>
      <c r="AC4" s="2">
        <f>(Q4*10^9)/(W4*10^3)/10^3</f>
        <v>14.853208206465425</v>
      </c>
      <c r="AD4" s="2">
        <f>(R4*10^9)/(X4*10^3)/10^3</f>
        <v>31.554544896763094</v>
      </c>
      <c r="AE4" s="2">
        <v>23.487558176269289</v>
      </c>
      <c r="AF4" s="2">
        <v>40.078887054887488</v>
      </c>
      <c r="AG4" s="2">
        <f>100*(AD4-AB4)/AB4</f>
        <v>304.60541866978627</v>
      </c>
      <c r="AH4" s="2">
        <f>100*(AD4-AC4)/AC4</f>
        <v>112.44262154103365</v>
      </c>
      <c r="AI4" s="2"/>
      <c r="AJ4" s="2"/>
      <c r="AK4">
        <v>1988</v>
      </c>
      <c r="AL4" s="2">
        <v>33.386947999999997</v>
      </c>
      <c r="AM4" s="2">
        <f t="shared" ref="AM4:AM32" si="4">AL4*E4</f>
        <v>30.199821809452683</v>
      </c>
      <c r="AN4" s="2">
        <f t="shared" ref="AN4:AN32" si="5">AL4+AM4</f>
        <v>63.586769809452676</v>
      </c>
      <c r="AO4" s="2">
        <f>AN4*0.315</f>
        <v>20.029832489977593</v>
      </c>
      <c r="AP4" s="2">
        <v>89.668000000000006</v>
      </c>
      <c r="AQ4" s="2">
        <v>59.167238769021267</v>
      </c>
      <c r="AR4" s="2">
        <v>131.77785704802511</v>
      </c>
      <c r="AS4" s="2">
        <f>100*(AP4-AL4)/AL4</f>
        <v>168.5720180233306</v>
      </c>
      <c r="AT4" s="2">
        <f>100*(AP4-AN4)/AN4</f>
        <v>41.016755952069374</v>
      </c>
      <c r="AU4" s="2">
        <f>100*(AP4-AO4)/AO4</f>
        <v>347.67224111768053</v>
      </c>
      <c r="AV4" s="78">
        <v>1654</v>
      </c>
      <c r="AW4" s="78">
        <f>AV4*0.315</f>
        <v>521.01</v>
      </c>
      <c r="AX4" s="2">
        <v>1636.6288</v>
      </c>
      <c r="AY4" s="2">
        <v>1428.62426994867</v>
      </c>
      <c r="AZ4" s="2">
        <v>1961.416218236569</v>
      </c>
      <c r="BA4" s="2">
        <f>100*(AX4-AV4)/AV4</f>
        <v>-1.0502539298669917</v>
      </c>
      <c r="BB4" s="2">
        <f>100*(AX4-AW4)/AW4</f>
        <v>214.12617800042224</v>
      </c>
      <c r="BC4" s="2">
        <f t="shared" ref="BC4:BC32" si="6">(AL4*10^9)/(AV4*10^3)/10^3</f>
        <v>20.185579201934704</v>
      </c>
      <c r="BD4" s="2">
        <f t="shared" ref="BD4:BD32" si="7">(AN4*10^9)/(AV4*10^3)/10^3</f>
        <v>38.444238095195089</v>
      </c>
      <c r="BE4" s="2">
        <f>(AP4*10^9)/(AX4*10^3)/10^3</f>
        <v>54.788232982335394</v>
      </c>
      <c r="BF4" s="2">
        <v>34.668335561954777</v>
      </c>
      <c r="BG4" s="2">
        <v>79.268451484548677</v>
      </c>
      <c r="BH4" s="2">
        <f>100*(BE4-BC4)/BC4</f>
        <v>171.42264501919354</v>
      </c>
      <c r="BI4" s="2">
        <f>100*(BE4-BD4)/BD4</f>
        <v>42.513509688160632</v>
      </c>
      <c r="BJ4" s="2"/>
      <c r="BK4" s="2"/>
      <c r="BL4" s="2">
        <v>33.403455999999998</v>
      </c>
      <c r="BM4" s="2">
        <f t="shared" ref="BM4:BM30" si="8">BN4-BL4</f>
        <v>7.3324659512195112</v>
      </c>
      <c r="BN4" s="2">
        <f t="shared" ref="BN4:BN30" si="9">BL4/(1-0.18)</f>
        <v>40.73592195121951</v>
      </c>
      <c r="BO4" s="2">
        <v>69.183899999999994</v>
      </c>
      <c r="BP4" s="2">
        <v>37.814832492762733</v>
      </c>
      <c r="BQ4" s="2">
        <v>111.02573685234449</v>
      </c>
      <c r="BR4" s="2">
        <f>100*(BO4-BL4)/BL4</f>
        <v>107.11599422526818</v>
      </c>
      <c r="BS4" s="2">
        <f>100*(BO4-BN4)/BN4</f>
        <v>69.835115264719903</v>
      </c>
      <c r="BT4" s="2">
        <v>1257.191</v>
      </c>
      <c r="BU4" s="2">
        <v>923.8424</v>
      </c>
      <c r="BV4" s="2">
        <v>680.39795525564114</v>
      </c>
      <c r="BW4" s="2">
        <v>1316.164389168272</v>
      </c>
      <c r="BX4" s="2">
        <f>100*(BU4-BT4)/BT4</f>
        <v>-26.515350491691397</v>
      </c>
      <c r="BY4" s="2">
        <f t="shared" ref="BY4:BY30" si="10">(BL4*10^9)/(BT4*10^3)/10^3</f>
        <v>26.569913402179939</v>
      </c>
      <c r="BZ4" s="2">
        <f>(BN4*10^9)/(BT4*10^3)/10^3</f>
        <v>32.40233341729261</v>
      </c>
      <c r="CA4" s="2">
        <f>(BO4*10^9)/(BU4*10^3)/10^3</f>
        <v>74.887123604632123</v>
      </c>
      <c r="CB4" s="2">
        <v>38.352226245404957</v>
      </c>
      <c r="CC4" s="2">
        <v>117.0913503019306</v>
      </c>
      <c r="CD4" s="2">
        <f>100*(CA4-BY4)/BY4</f>
        <v>181.84933263082439</v>
      </c>
      <c r="CE4" s="2">
        <f>100*(CA4-BZ4)/BZ4</f>
        <v>131.11645275727599</v>
      </c>
      <c r="CF4" s="2"/>
      <c r="CG4" s="2"/>
      <c r="CH4" s="2">
        <f t="shared" ref="CH4:CH30" si="11">BL4+AL4+O4</f>
        <v>191.937118</v>
      </c>
      <c r="CI4" s="2">
        <f t="shared" ref="CI4:CI30" si="12">BM4+AM4+P4</f>
        <v>150.73246595121952</v>
      </c>
      <c r="CJ4" s="2">
        <f t="shared" ref="CJ4:CJ30" si="13">CH4+CI4</f>
        <v>342.66958395121952</v>
      </c>
      <c r="CK4" s="2">
        <f t="shared" ref="CK4:CK30" si="14">Q4+AO4+BN4</f>
        <v>299.11264663174444</v>
      </c>
      <c r="CL4" s="2">
        <f>BO4+AP4+R4</f>
        <v>351.09190000000001</v>
      </c>
      <c r="CM4" s="2">
        <v>284.79063570902599</v>
      </c>
      <c r="CN4" s="2">
        <v>430.2791922845775</v>
      </c>
      <c r="CO4" s="2">
        <f>100*(CL4-CH4)/CH4</f>
        <v>82.920272878120429</v>
      </c>
      <c r="CP4" s="2">
        <f>100*(CL4-CJ4)/CJ4</f>
        <v>2.4578534084249042</v>
      </c>
      <c r="CQ4" s="2">
        <f>100*(CL4-CK4)/CK4</f>
        <v>17.377818675868411</v>
      </c>
      <c r="CR4" s="2">
        <f t="shared" ref="CR4:CR30" si="15">BT4+AV4+W4</f>
        <v>18958.02</v>
      </c>
      <c r="CS4" s="2">
        <f t="shared" ref="CS4:CS30" si="16">W4+AW4+BT4</f>
        <v>17825.03</v>
      </c>
      <c r="CT4" s="2">
        <f>BU4+AX4+X4</f>
        <v>8652.7789999999986</v>
      </c>
      <c r="CU4" s="2">
        <v>7852.3685849403437</v>
      </c>
      <c r="CV4" s="2">
        <v>1961.416218236569</v>
      </c>
      <c r="CW4" s="2">
        <f>100*(CT4-CR4)/CR4</f>
        <v>-54.358213568716572</v>
      </c>
      <c r="CX4" s="2">
        <f>100*(CT4-CS4)/CS4</f>
        <v>-51.45714200761514</v>
      </c>
      <c r="CY4" s="2">
        <f t="shared" ref="CY4:CY30" si="17">(CH4*10^9)/(CR4*10^3)/10^3</f>
        <v>10.124323004195587</v>
      </c>
      <c r="CZ4" s="2">
        <f t="shared" ref="CZ4:CZ30" si="18">(CJ4*10^9)/(CR4*10^3)/10^3</f>
        <v>18.075177890476933</v>
      </c>
      <c r="DA4" s="2">
        <f>(CL4*10^9)/(CT4*10^3)/10^3</f>
        <v>40.575623161067682</v>
      </c>
      <c r="DB4" s="2">
        <v>32.815793767961637</v>
      </c>
      <c r="DC4" s="2">
        <v>48.465188090293033</v>
      </c>
      <c r="DD4" s="2">
        <f>100*(DA4-CY4)/CY4</f>
        <v>300.77369266323166</v>
      </c>
      <c r="DE4" s="2">
        <f>100*(DA4-CZ4)/CZ4</f>
        <v>124.48256612979343</v>
      </c>
      <c r="DF4" s="2"/>
      <c r="DH4">
        <v>1988</v>
      </c>
      <c r="DI4" s="3"/>
      <c r="DJ4" s="3"/>
      <c r="DK4" s="3"/>
      <c r="DL4" s="3"/>
      <c r="DM4" s="3"/>
      <c r="DN4" s="3"/>
      <c r="DO4" s="3"/>
      <c r="DP4" s="3"/>
      <c r="DQ4" s="3"/>
      <c r="DR4" s="2">
        <v>155.588289</v>
      </c>
      <c r="DS4" s="3"/>
      <c r="DT4" s="3"/>
      <c r="DU4" s="3"/>
      <c r="DV4" s="3"/>
      <c r="DW4" s="3"/>
      <c r="DX4" s="3"/>
      <c r="DY4" s="3"/>
      <c r="DZ4" s="2">
        <v>1110.8325130000001</v>
      </c>
      <c r="EA4" s="3"/>
      <c r="EB4" s="3"/>
      <c r="EC4" s="3"/>
      <c r="ED4" s="3"/>
      <c r="EE4" s="3"/>
      <c r="EF4" s="2">
        <f>(DR4*10^9)/(DZ4*10^3)/10^3</f>
        <v>140.06457965459282</v>
      </c>
      <c r="EG4" s="3"/>
      <c r="EH4" s="3"/>
      <c r="EI4" s="3"/>
      <c r="EK4">
        <v>1988</v>
      </c>
      <c r="EL4" s="3"/>
      <c r="EM4" s="3"/>
      <c r="EN4" s="2">
        <f>DR4+CL4</f>
        <v>506.68018900000004</v>
      </c>
      <c r="EO4" s="3"/>
      <c r="EP4" s="3"/>
      <c r="EQ4" s="3"/>
      <c r="ER4" s="3"/>
      <c r="ES4" s="2">
        <f>DZ4+CT4</f>
        <v>9763.611512999998</v>
      </c>
      <c r="ET4" s="3"/>
      <c r="EU4" s="3"/>
      <c r="EV4" s="3"/>
      <c r="EW4" s="3"/>
      <c r="EX4" s="2">
        <f>(EN4*10^9)/(ES4*10^3)/10^3</f>
        <v>51.894751068840499</v>
      </c>
      <c r="EY4" s="3"/>
      <c r="EZ4" s="3"/>
    </row>
    <row r="5" spans="1:156" x14ac:dyDescent="0.45">
      <c r="A5">
        <v>1989</v>
      </c>
      <c r="B5" s="2">
        <v>162.312467</v>
      </c>
      <c r="C5" s="2">
        <v>147.80000000000001</v>
      </c>
      <c r="D5" s="2">
        <f t="shared" ref="D5:D32" si="19">B5+C5</f>
        <v>310.11246700000004</v>
      </c>
      <c r="E5" s="2">
        <f t="shared" ref="E5:E32" si="20">C5/B5</f>
        <v>0.91058932645019819</v>
      </c>
      <c r="F5" s="2"/>
      <c r="G5" s="2">
        <v>18292.276000000002</v>
      </c>
      <c r="H5" s="2"/>
      <c r="I5" s="2">
        <f t="shared" si="0"/>
        <v>8.8732789183806329</v>
      </c>
      <c r="J5" s="2">
        <f t="shared" si="1"/>
        <v>16.953191992073595</v>
      </c>
      <c r="N5">
        <v>1989</v>
      </c>
      <c r="O5" s="2">
        <v>132.523741</v>
      </c>
      <c r="P5" s="2">
        <f t="shared" si="2"/>
        <v>120.67470405585051</v>
      </c>
      <c r="Q5" s="2">
        <f t="shared" ref="Q5:Q32" si="21">O5+P5</f>
        <v>253.19844505585053</v>
      </c>
      <c r="R5" s="2"/>
      <c r="S5" s="2"/>
      <c r="T5" s="2"/>
      <c r="U5" s="2"/>
      <c r="V5" s="2"/>
      <c r="W5" s="2">
        <v>16657.276000000002</v>
      </c>
      <c r="X5" s="2"/>
      <c r="Y5" s="2"/>
      <c r="Z5" s="2"/>
      <c r="AA5" s="2"/>
      <c r="AB5" s="2">
        <f t="shared" si="3"/>
        <v>7.9559071363168847</v>
      </c>
      <c r="AC5" s="2">
        <f t="shared" ref="AC5:AC32" si="22">(Q5*10^9)/(W5*10^3)/10^3</f>
        <v>15.200471256876003</v>
      </c>
      <c r="AI5" s="2"/>
      <c r="AJ5" s="2"/>
      <c r="AK5">
        <v>1989</v>
      </c>
      <c r="AL5" s="2">
        <v>29.788726</v>
      </c>
      <c r="AM5" s="2">
        <f t="shared" si="4"/>
        <v>27.125295944149507</v>
      </c>
      <c r="AN5" s="2">
        <f t="shared" si="5"/>
        <v>56.914021944149511</v>
      </c>
      <c r="AO5" s="2">
        <f t="shared" ref="AO5:AO32" si="23">AN5*0.315</f>
        <v>17.927916912407095</v>
      </c>
      <c r="AP5" s="2"/>
      <c r="AQ5" s="2"/>
      <c r="AR5" s="2"/>
      <c r="AS5" s="2"/>
      <c r="AV5" s="78">
        <v>1635</v>
      </c>
      <c r="AW5" s="78">
        <f t="shared" ref="AW5:AW32" si="24">AV5*0.315</f>
        <v>515.02499999999998</v>
      </c>
      <c r="AX5" s="2"/>
      <c r="AY5" s="2"/>
      <c r="AZ5" s="2"/>
      <c r="BC5" s="2">
        <f t="shared" si="6"/>
        <v>18.219404281345568</v>
      </c>
      <c r="BD5" s="2">
        <f t="shared" si="7"/>
        <v>34.809799354219891</v>
      </c>
      <c r="BL5" s="2">
        <v>32.469876999999997</v>
      </c>
      <c r="BM5" s="2">
        <f t="shared" si="8"/>
        <v>7.1275339756097509</v>
      </c>
      <c r="BN5" s="2">
        <f t="shared" si="9"/>
        <v>39.597410975609748</v>
      </c>
      <c r="BO5" s="2"/>
      <c r="BP5" s="2"/>
      <c r="BQ5" s="2"/>
      <c r="BT5" s="2">
        <v>1422.9670000000001</v>
      </c>
      <c r="BU5" s="2"/>
      <c r="BV5" s="2"/>
      <c r="BW5" s="2"/>
      <c r="BY5" s="2">
        <f t="shared" si="10"/>
        <v>22.81843289408679</v>
      </c>
      <c r="BZ5" s="2">
        <f t="shared" ref="BZ5:BZ30" si="25">(BN5*10^9)/(BT5*10^3)/10^3</f>
        <v>27.827357187910717</v>
      </c>
      <c r="CA5" s="2"/>
      <c r="CB5" s="2"/>
      <c r="CC5" s="2"/>
      <c r="CF5" s="2"/>
      <c r="CG5" s="2"/>
      <c r="CH5" s="2">
        <f t="shared" si="11"/>
        <v>194.78234399999999</v>
      </c>
      <c r="CI5" s="2">
        <f t="shared" si="12"/>
        <v>154.92753397560978</v>
      </c>
      <c r="CJ5" s="2">
        <f t="shared" si="13"/>
        <v>349.70987797560974</v>
      </c>
      <c r="CK5" s="2">
        <f t="shared" si="14"/>
        <v>310.7237729438674</v>
      </c>
      <c r="CL5" s="2"/>
      <c r="CM5" s="2"/>
      <c r="CR5" s="2">
        <f t="shared" si="15"/>
        <v>19715.243000000002</v>
      </c>
      <c r="CS5" s="2">
        <f t="shared" si="16"/>
        <v>18595.268000000004</v>
      </c>
      <c r="CT5" s="2"/>
      <c r="CU5" s="2"/>
      <c r="CY5" s="2">
        <f t="shared" si="17"/>
        <v>9.8797840838177837</v>
      </c>
      <c r="CZ5" s="2">
        <f t="shared" si="18"/>
        <v>17.73804553033456</v>
      </c>
      <c r="DA5" s="2"/>
      <c r="DC5" s="2"/>
      <c r="DF5" s="2"/>
      <c r="DH5">
        <v>1989</v>
      </c>
      <c r="DI5" s="3"/>
      <c r="DJ5" s="3"/>
      <c r="DK5" s="3"/>
      <c r="DL5" s="3"/>
      <c r="DM5" s="3"/>
      <c r="DN5" s="3"/>
      <c r="DO5" s="3"/>
      <c r="DP5" s="3"/>
      <c r="DQ5" s="3"/>
      <c r="DR5" s="2"/>
      <c r="DV5" s="3"/>
      <c r="DW5" s="3"/>
      <c r="DX5" s="3"/>
      <c r="DY5" s="3"/>
      <c r="DZ5" s="2"/>
      <c r="EA5" s="2"/>
      <c r="EC5" s="3"/>
      <c r="ED5" s="3"/>
      <c r="EE5" s="3"/>
      <c r="EF5" s="2"/>
      <c r="EK5">
        <v>1989</v>
      </c>
      <c r="EL5" s="3"/>
      <c r="EM5" s="3"/>
      <c r="EN5" s="2"/>
      <c r="EQ5" s="3"/>
      <c r="ER5" s="3"/>
      <c r="ES5" s="2"/>
      <c r="ET5" s="2"/>
      <c r="EV5" s="3"/>
      <c r="EW5" s="3"/>
      <c r="EX5" s="2"/>
    </row>
    <row r="6" spans="1:156" x14ac:dyDescent="0.45">
      <c r="A6">
        <v>1990</v>
      </c>
      <c r="B6" s="2">
        <v>166.024832</v>
      </c>
      <c r="C6" s="2">
        <v>153.69999999999999</v>
      </c>
      <c r="D6" s="2">
        <f t="shared" si="19"/>
        <v>319.72483199999999</v>
      </c>
      <c r="E6" s="2">
        <f t="shared" si="20"/>
        <v>0.92576512891758256</v>
      </c>
      <c r="F6" s="2"/>
      <c r="G6" s="2">
        <v>18655.891</v>
      </c>
      <c r="H6" s="2"/>
      <c r="I6" s="2">
        <f t="shared" si="0"/>
        <v>8.8993247226841099</v>
      </c>
      <c r="J6" s="2">
        <f t="shared" si="1"/>
        <v>17.138009221859196</v>
      </c>
      <c r="N6">
        <v>1990</v>
      </c>
      <c r="O6" s="2">
        <v>140.996431</v>
      </c>
      <c r="P6" s="2">
        <f t="shared" si="2"/>
        <v>130.52957912163404</v>
      </c>
      <c r="Q6" s="2">
        <f t="shared" si="21"/>
        <v>271.52601012163404</v>
      </c>
      <c r="R6" s="2"/>
      <c r="S6" s="2"/>
      <c r="T6" s="2"/>
      <c r="U6" s="2"/>
      <c r="V6" s="2"/>
      <c r="W6" s="2">
        <v>17103.891</v>
      </c>
      <c r="X6" s="2"/>
      <c r="Y6" s="2"/>
      <c r="Z6" s="2"/>
      <c r="AA6" s="2"/>
      <c r="AB6" s="2">
        <f t="shared" si="3"/>
        <v>8.2435295571048712</v>
      </c>
      <c r="AC6" s="2">
        <f t="shared" si="22"/>
        <v>15.875101760273965</v>
      </c>
      <c r="AI6" s="2"/>
      <c r="AJ6" s="2"/>
      <c r="AK6">
        <v>1990</v>
      </c>
      <c r="AL6" s="2">
        <v>25.028400999999999</v>
      </c>
      <c r="AM6" s="2">
        <f t="shared" si="4"/>
        <v>23.170420878365952</v>
      </c>
      <c r="AN6" s="2">
        <f t="shared" si="5"/>
        <v>48.198821878365948</v>
      </c>
      <c r="AO6" s="2">
        <f t="shared" si="23"/>
        <v>15.182628891685274</v>
      </c>
      <c r="AP6" s="2"/>
      <c r="AQ6" s="2"/>
      <c r="AR6" s="2"/>
      <c r="AS6" s="2"/>
      <c r="AV6" s="78">
        <v>1552</v>
      </c>
      <c r="AW6" s="78">
        <f t="shared" si="24"/>
        <v>488.88</v>
      </c>
      <c r="AX6" s="2"/>
      <c r="AY6" s="2"/>
      <c r="BC6" s="2">
        <f t="shared" si="6"/>
        <v>16.126547036082474</v>
      </c>
      <c r="BD6" s="2">
        <f t="shared" si="7"/>
        <v>31.055941931936822</v>
      </c>
      <c r="BL6" s="2">
        <v>32.522478</v>
      </c>
      <c r="BM6" s="2">
        <f t="shared" si="8"/>
        <v>7.1390805365853609</v>
      </c>
      <c r="BN6" s="2">
        <f t="shared" si="9"/>
        <v>39.66155853658536</v>
      </c>
      <c r="BO6" s="2"/>
      <c r="BP6" s="2"/>
      <c r="BQ6" s="2"/>
      <c r="BT6" s="2">
        <v>1575.0920000000001</v>
      </c>
      <c r="BU6" s="2"/>
      <c r="BV6" s="2"/>
      <c r="BW6" s="2"/>
      <c r="BY6" s="2">
        <f t="shared" si="10"/>
        <v>20.647986276357191</v>
      </c>
      <c r="BZ6" s="2">
        <f t="shared" si="25"/>
        <v>25.180471068728274</v>
      </c>
      <c r="CA6" s="2"/>
      <c r="CB6" s="2"/>
      <c r="CC6" s="2"/>
      <c r="CF6" s="2"/>
      <c r="CG6" s="2"/>
      <c r="CH6" s="2">
        <f t="shared" si="11"/>
        <v>198.54730999999998</v>
      </c>
      <c r="CI6" s="2">
        <f t="shared" si="12"/>
        <v>160.83908053658536</v>
      </c>
      <c r="CJ6" s="2">
        <f t="shared" si="13"/>
        <v>359.38639053658534</v>
      </c>
      <c r="CK6" s="2">
        <f t="shared" si="14"/>
        <v>326.37019754990467</v>
      </c>
      <c r="CL6" s="2"/>
      <c r="CM6" s="2"/>
      <c r="CR6" s="2">
        <f t="shared" si="15"/>
        <v>20230.983</v>
      </c>
      <c r="CS6" s="2">
        <f t="shared" si="16"/>
        <v>19167.863000000001</v>
      </c>
      <c r="CT6" s="2"/>
      <c r="CU6" s="2"/>
      <c r="CY6" s="2">
        <f t="shared" si="17"/>
        <v>9.8140218890995055</v>
      </c>
      <c r="CZ6" s="2">
        <f t="shared" si="18"/>
        <v>17.764158594596484</v>
      </c>
      <c r="DA6" s="2"/>
      <c r="DC6" s="2"/>
      <c r="DF6" s="2"/>
      <c r="DH6">
        <v>1990</v>
      </c>
      <c r="DI6" s="2">
        <v>264.87471699999998</v>
      </c>
      <c r="DJ6" s="2">
        <f t="shared" ref="DJ6:DJ18" si="26">DI6*$DK$33</f>
        <v>200.12465610170494</v>
      </c>
      <c r="DK6" s="2"/>
      <c r="DL6" s="2">
        <f>DI6-DJ6</f>
        <v>64.750060898295033</v>
      </c>
      <c r="DM6" s="82">
        <v>65.2</v>
      </c>
      <c r="DN6" s="2">
        <f t="shared" ref="DN6:DN30" si="27">DM6-BM6</f>
        <v>58.060919463414642</v>
      </c>
      <c r="DO6" s="2">
        <f>DN6*$DK$33</f>
        <v>43.867612855494407</v>
      </c>
      <c r="DP6" s="2">
        <f>DN6-DO6</f>
        <v>14.193306607920235</v>
      </c>
      <c r="DQ6" s="2">
        <f>DL6+DP6</f>
        <v>78.943367506215267</v>
      </c>
      <c r="DR6" s="2"/>
      <c r="DV6" s="2">
        <v>1848.498</v>
      </c>
      <c r="DW6" s="2">
        <f t="shared" ref="DW6:DW18" si="28">DV6*$DX$33</f>
        <v>5.3501197761490102</v>
      </c>
      <c r="DX6" s="2"/>
      <c r="DY6" s="2">
        <f t="shared" ref="DY6:DY28" si="29">DV6-DW6</f>
        <v>1843.147880223851</v>
      </c>
      <c r="DZ6" s="2"/>
      <c r="EA6" s="2"/>
      <c r="EC6" s="2">
        <f t="shared" ref="EC6:EC30" si="30">(DI6*10^9)/(DV6*10^3)/10^3</f>
        <v>143.29186020217492</v>
      </c>
      <c r="ED6" s="2">
        <f>(DL6*10^9)/(DY6*10^3)/10^3</f>
        <v>35.130149671132799</v>
      </c>
      <c r="EE6" s="2">
        <f>(DQ6*10^9)/(DY6*10^3)/10^3</f>
        <v>42.830729076729085</v>
      </c>
      <c r="EF6" s="2"/>
      <c r="EK6">
        <v>1990</v>
      </c>
      <c r="EL6" s="2">
        <f>DI6+CH6</f>
        <v>463.42202699999996</v>
      </c>
      <c r="EM6" s="2">
        <f>DQ6+CK6</f>
        <v>405.31356505611996</v>
      </c>
      <c r="EN6" s="2"/>
      <c r="EQ6" s="2">
        <f>DV6+CR6</f>
        <v>22079.481</v>
      </c>
      <c r="ER6" s="2">
        <f>DY6+CS6</f>
        <v>21011.010880223854</v>
      </c>
      <c r="ES6" s="2"/>
      <c r="ET6" s="2"/>
      <c r="EV6" s="2">
        <f>(EL6*10^9)/(EQ6*10^3)/10^3</f>
        <v>20.988809791317102</v>
      </c>
      <c r="EW6" s="2">
        <f>(EM6*10^9)/(ER6*10^3)/10^3</f>
        <v>19.290531396450437</v>
      </c>
      <c r="EX6" s="2"/>
    </row>
    <row r="7" spans="1:156" x14ac:dyDescent="0.45">
      <c r="A7">
        <v>1991</v>
      </c>
      <c r="B7" s="2">
        <v>163.69117700000001</v>
      </c>
      <c r="C7" s="2">
        <v>158.5</v>
      </c>
      <c r="D7" s="2">
        <f t="shared" si="19"/>
        <v>322.19117700000004</v>
      </c>
      <c r="E7" s="2">
        <f t="shared" si="20"/>
        <v>0.96828676355598564</v>
      </c>
      <c r="F7" s="2">
        <v>396.7543</v>
      </c>
      <c r="G7" s="2">
        <v>18987.631000000001</v>
      </c>
      <c r="H7" s="2">
        <v>9394.1923000000006</v>
      </c>
      <c r="I7" s="2">
        <f t="shared" si="0"/>
        <v>8.6209373354685486</v>
      </c>
      <c r="J7" s="2">
        <f t="shared" si="1"/>
        <v>16.968476846848354</v>
      </c>
      <c r="K7" s="2">
        <f>(F7*10^9)/(H7*10^3)/10^3</f>
        <v>42.233998126693656</v>
      </c>
      <c r="L7" s="2"/>
      <c r="M7" s="2"/>
      <c r="N7">
        <v>1991</v>
      </c>
      <c r="O7" s="2">
        <v>138.66277600000001</v>
      </c>
      <c r="P7" s="2">
        <f t="shared" si="2"/>
        <v>134.26533059872861</v>
      </c>
      <c r="Q7" s="2">
        <f t="shared" si="21"/>
        <v>272.92810659872862</v>
      </c>
      <c r="R7" s="2">
        <v>233.02600000000001</v>
      </c>
      <c r="S7" s="2">
        <v>171.81818647483809</v>
      </c>
      <c r="T7" s="2">
        <v>349.97770751435718</v>
      </c>
      <c r="U7" s="2">
        <f>100*(R7-O7)/O7</f>
        <v>68.052311313888595</v>
      </c>
      <c r="V7" s="2">
        <f>100*(R7-Q7)/Q7</f>
        <v>-14.620006380432818</v>
      </c>
      <c r="W7" s="2">
        <v>17471.631000000001</v>
      </c>
      <c r="X7" s="2">
        <v>8045.6436999999996</v>
      </c>
      <c r="Y7" s="2">
        <v>7458.3244999999997</v>
      </c>
      <c r="Z7" s="2">
        <v>8650.5683999999983</v>
      </c>
      <c r="AA7" s="2">
        <f>100*(X7-W7)/W7</f>
        <v>-53.95024253889062</v>
      </c>
      <c r="AB7" s="2">
        <f t="shared" si="3"/>
        <v>7.9364528703702586</v>
      </c>
      <c r="AC7" s="2">
        <f t="shared" si="22"/>
        <v>15.62121513433569</v>
      </c>
      <c r="AD7" s="2">
        <f>(R7*10^9)/(X7*10^3)/10^3</f>
        <v>28.963002674354076</v>
      </c>
      <c r="AE7" s="2">
        <v>21.102369736959449</v>
      </c>
      <c r="AF7" s="2">
        <v>43.358885862251299</v>
      </c>
      <c r="AG7" s="2">
        <f>100*(AD7-AB7)/AB7</f>
        <v>264.93636574701753</v>
      </c>
      <c r="AH7" s="2">
        <f>100*(AD7-AC7)/AC7</f>
        <v>85.408128786939983</v>
      </c>
      <c r="AI7" s="2"/>
      <c r="AJ7" s="2"/>
      <c r="AK7">
        <v>1991</v>
      </c>
      <c r="AL7" s="2">
        <v>25.028400999999999</v>
      </c>
      <c r="AM7" s="2">
        <f t="shared" si="4"/>
        <v>24.234669401271393</v>
      </c>
      <c r="AN7" s="2">
        <f t="shared" si="5"/>
        <v>49.263070401271392</v>
      </c>
      <c r="AO7" s="2">
        <f t="shared" si="23"/>
        <v>15.517867176400488</v>
      </c>
      <c r="AP7" s="2">
        <v>163.72829999999999</v>
      </c>
      <c r="AQ7" s="2">
        <v>115.2860585382716</v>
      </c>
      <c r="AR7" s="2">
        <v>232.76036811556281</v>
      </c>
      <c r="AS7" s="2">
        <f>100*(AP7-AL7)/AL7</f>
        <v>554.17003667153961</v>
      </c>
      <c r="AT7" s="2">
        <f>100*(AP7-AN7)/AN7</f>
        <v>232.3550454049134</v>
      </c>
      <c r="AU7" s="2">
        <f>100*(AP7-AO7)/AO7</f>
        <v>955.09538223782033</v>
      </c>
      <c r="AV7" s="78">
        <v>1516</v>
      </c>
      <c r="AW7" s="78">
        <f t="shared" si="24"/>
        <v>477.54</v>
      </c>
      <c r="AX7" s="2">
        <v>1348.5486000000001</v>
      </c>
      <c r="AY7" s="2">
        <v>1197.1952668109061</v>
      </c>
      <c r="AZ7" s="2">
        <v>1477.6500667071959</v>
      </c>
      <c r="BA7" s="2">
        <f>100*(AX7-AV7)/AV7</f>
        <v>-11.045606860158307</v>
      </c>
      <c r="BB7" s="2">
        <f>100*(AX7-AW7)/AW7</f>
        <v>182.39489885664031</v>
      </c>
      <c r="BC7" s="2">
        <f t="shared" si="6"/>
        <v>16.509499340369391</v>
      </c>
      <c r="BD7" s="2">
        <f t="shared" si="7"/>
        <v>32.495429024585349</v>
      </c>
      <c r="BE7" s="2">
        <f>(AP7*10^9)/(AX7*10^3)/10^3</f>
        <v>121.41075227099712</v>
      </c>
      <c r="BF7" s="2">
        <v>85.565686683504396</v>
      </c>
      <c r="BG7" s="2">
        <v>178.0648703032609</v>
      </c>
      <c r="BH7" s="2">
        <f>100*(BE7-BC7)/BC7</f>
        <v>635.3993586838875</v>
      </c>
      <c r="BI7" s="2">
        <f>100*(BE7-BD7)/BD7</f>
        <v>273.62409395838517</v>
      </c>
      <c r="BJ7" s="2"/>
      <c r="BK7" s="2"/>
      <c r="BL7" s="2">
        <v>29.440135999999999</v>
      </c>
      <c r="BM7" s="2">
        <f t="shared" si="8"/>
        <v>6.462468878048778</v>
      </c>
      <c r="BN7" s="2">
        <f t="shared" si="9"/>
        <v>35.902604878048777</v>
      </c>
      <c r="BO7" s="2">
        <v>102.974</v>
      </c>
      <c r="BP7" s="2">
        <v>72.309580720029032</v>
      </c>
      <c r="BQ7" s="2">
        <v>132.96866001763169</v>
      </c>
      <c r="BR7" s="2">
        <f>100*(BO7-BL7)/BL7</f>
        <v>249.77419941266581</v>
      </c>
      <c r="BS7" s="2">
        <f>100*(BO7-BN7)/BN7</f>
        <v>186.81484351838597</v>
      </c>
      <c r="BT7" s="2">
        <v>1698.271</v>
      </c>
      <c r="BU7" s="2">
        <v>1299.5445099999999</v>
      </c>
      <c r="BV7" s="2">
        <v>1048.362802290698</v>
      </c>
      <c r="BW7" s="2">
        <v>1513.000216242227</v>
      </c>
      <c r="BX7" s="2">
        <f>100*(BU7-BT7)/BT7</f>
        <v>-23.478378303580527</v>
      </c>
      <c r="BY7" s="2">
        <f t="shared" si="10"/>
        <v>17.335358137776598</v>
      </c>
      <c r="BZ7" s="2">
        <f t="shared" si="25"/>
        <v>21.140680655825115</v>
      </c>
      <c r="CA7" s="2">
        <f>(BO7*10^9)/(BU7*10^3)/10^3</f>
        <v>79.238532584005142</v>
      </c>
      <c r="CB7" s="2">
        <v>56.200128912919652</v>
      </c>
      <c r="CC7" s="2">
        <v>107.3543175882494</v>
      </c>
      <c r="CD7" s="2">
        <f>100*(CA7-BY7)/BY7</f>
        <v>357.09198479915648</v>
      </c>
      <c r="CE7" s="2">
        <f>100*(CA7-BZ7)/BZ7</f>
        <v>274.8154275353084</v>
      </c>
      <c r="CF7" s="2"/>
      <c r="CG7" s="2"/>
      <c r="CH7" s="2">
        <f t="shared" si="11"/>
        <v>193.13131300000001</v>
      </c>
      <c r="CI7" s="2">
        <f t="shared" si="12"/>
        <v>164.96246887804878</v>
      </c>
      <c r="CJ7" s="2">
        <f t="shared" si="13"/>
        <v>358.09378187804879</v>
      </c>
      <c r="CK7" s="2">
        <f t="shared" si="14"/>
        <v>324.34857865317792</v>
      </c>
      <c r="CL7" s="2">
        <f>BO7+AP7+R7</f>
        <v>499.72829999999999</v>
      </c>
      <c r="CM7" s="2">
        <v>412.61001281988462</v>
      </c>
      <c r="CN7" s="2">
        <v>635.77896688990177</v>
      </c>
      <c r="CO7" s="2">
        <f>100*(CL7-CH7)/CH7</f>
        <v>158.75053207969441</v>
      </c>
      <c r="CP7" s="2">
        <f>100*(CL7-CJ7)/CJ7</f>
        <v>39.552353402826128</v>
      </c>
      <c r="CQ7" s="2">
        <f>100*(CL7-CK7)/CK7</f>
        <v>54.07137039880589</v>
      </c>
      <c r="CR7" s="2">
        <f t="shared" si="15"/>
        <v>20685.902000000002</v>
      </c>
      <c r="CS7" s="2">
        <f t="shared" si="16"/>
        <v>19647.442000000003</v>
      </c>
      <c r="CT7" s="2">
        <f>BU7+AX7+X7</f>
        <v>10693.736809999999</v>
      </c>
      <c r="CU7" s="2">
        <v>10083.88534899918</v>
      </c>
      <c r="CV7" s="2">
        <v>1477.6500667071959</v>
      </c>
      <c r="CW7" s="2">
        <f>100*(CT7-CR7)/CR7</f>
        <v>-48.304227632906709</v>
      </c>
      <c r="CX7" s="2">
        <f>100*(CT7-CS7)/CS7</f>
        <v>-45.571862179310685</v>
      </c>
      <c r="CY7" s="2">
        <f t="shared" si="17"/>
        <v>9.3363737776578457</v>
      </c>
      <c r="CZ7" s="2">
        <f t="shared" si="18"/>
        <v>17.31100639836971</v>
      </c>
      <c r="DA7" s="2">
        <f>(CL7*10^9)/(CT7*10^3)/10^3</f>
        <v>46.730933150766411</v>
      </c>
      <c r="DB7" s="2">
        <v>38.134203929254753</v>
      </c>
      <c r="DC7" s="2">
        <v>60.082927896659562</v>
      </c>
      <c r="DD7" s="2">
        <f>100*(DA7-CY7)/CY7</f>
        <v>400.52551733302056</v>
      </c>
      <c r="DE7" s="2">
        <f>100*(DA7-CZ7)/CZ7</f>
        <v>169.94925699506047</v>
      </c>
      <c r="DF7" s="2"/>
      <c r="DH7">
        <v>1991</v>
      </c>
      <c r="DI7" s="2">
        <v>230.43368799999999</v>
      </c>
      <c r="DJ7" s="2">
        <f t="shared" si="26"/>
        <v>174.1029234030199</v>
      </c>
      <c r="DK7" s="2"/>
      <c r="DL7" s="2">
        <f t="shared" ref="DL7:DL30" si="31">DI7-DJ7</f>
        <v>56.330764596980089</v>
      </c>
      <c r="DM7" s="82">
        <v>67.599999999999994</v>
      </c>
      <c r="DN7" s="2">
        <f t="shared" si="27"/>
        <v>61.137531121951213</v>
      </c>
      <c r="DO7" s="2">
        <f t="shared" ref="DO7:DO30" si="32">DN7*$DK$33</f>
        <v>46.192130110658205</v>
      </c>
      <c r="DP7" s="2">
        <f t="shared" ref="DP7:DP30" si="33">DN7-DO7</f>
        <v>14.945401011293008</v>
      </c>
      <c r="DQ7" s="2">
        <f t="shared" ref="DQ7:DQ30" si="34">DL7+DP7</f>
        <v>71.276165608273089</v>
      </c>
      <c r="DR7" s="2">
        <v>145.07936699999999</v>
      </c>
      <c r="DS7" s="2">
        <f>100*(DR7-DI7)/DI7</f>
        <v>-37.040730346684377</v>
      </c>
      <c r="DT7" s="2">
        <f>100*(DR7-DL7)/DL7</f>
        <v>157.54908181696817</v>
      </c>
      <c r="DU7" s="2">
        <f>100*(DR7-DQ7)/DQ7</f>
        <v>103.54541488292475</v>
      </c>
      <c r="DV7" s="2">
        <v>1821.5029999999999</v>
      </c>
      <c r="DW7" s="2">
        <f t="shared" si="28"/>
        <v>5.2719879721886365</v>
      </c>
      <c r="DX7" s="2"/>
      <c r="DY7" s="2">
        <f t="shared" si="29"/>
        <v>1816.2310120278114</v>
      </c>
      <c r="DZ7" s="2">
        <v>1423.812261</v>
      </c>
      <c r="EA7" s="2">
        <f>100*(DZ7-DV7)/DV7</f>
        <v>-21.833109196086962</v>
      </c>
      <c r="EB7" s="2">
        <f>100*(DZ7-DY7)/DY7</f>
        <v>-21.606213550427054</v>
      </c>
      <c r="EC7" s="2">
        <f t="shared" si="30"/>
        <v>126.5074435781879</v>
      </c>
      <c r="ED7" s="2">
        <f t="shared" ref="ED7:ED30" si="35">(DL7*10^9)/(DY7*10^3)/10^3</f>
        <v>31.015198079944199</v>
      </c>
      <c r="EE7" s="2">
        <f t="shared" ref="EE7:EE30" si="36">(DQ7*10^9)/(DY7*10^3)/10^3</f>
        <v>39.24399767224196</v>
      </c>
      <c r="EF7" s="2">
        <f>(DR7*10^9)/(DZ7*10^3)/10^3</f>
        <v>101.895011704777</v>
      </c>
      <c r="EG7" s="2">
        <f>100*(EF7-EC7)/EC7</f>
        <v>-19.455323083972672</v>
      </c>
      <c r="EH7" s="2">
        <f>100*(EF7-ED7)/ED7</f>
        <v>228.53251958002755</v>
      </c>
      <c r="EI7" s="2">
        <f>100*(EF7-EE7)/EE7</f>
        <v>159.64483169065448</v>
      </c>
      <c r="EK7">
        <v>1991</v>
      </c>
      <c r="EL7" s="2">
        <f t="shared" ref="EL7:EL30" si="37">DI7+CH7</f>
        <v>423.565001</v>
      </c>
      <c r="EM7" s="2">
        <f t="shared" ref="EM7:EM30" si="38">DQ7+CK7</f>
        <v>395.62474426145104</v>
      </c>
      <c r="EN7" s="2">
        <f>DR7+CL7</f>
        <v>644.80766700000004</v>
      </c>
      <c r="EO7" s="2">
        <f>100*(EN7-EL7)/EL7</f>
        <v>52.233462509335148</v>
      </c>
      <c r="EP7" s="2">
        <f>100*(EN7-EM7)/EM7</f>
        <v>62.984665735132815</v>
      </c>
      <c r="EQ7" s="2">
        <f t="shared" ref="EQ7:EQ30" si="39">DV7+CR7</f>
        <v>22507.405000000002</v>
      </c>
      <c r="ER7" s="2">
        <f t="shared" ref="ER7:ER30" si="40">DY7+CS7</f>
        <v>21463.673012027815</v>
      </c>
      <c r="ES7" s="2">
        <f>DZ7+CT7</f>
        <v>12117.549070999998</v>
      </c>
      <c r="ET7" s="2">
        <f>100*(ES7-EQ7)/EQ7</f>
        <v>-46.161945053194735</v>
      </c>
      <c r="EU7" s="2">
        <f>100*(ES7-ER7)/ER7</f>
        <v>-43.543916904578431</v>
      </c>
      <c r="EV7" s="2">
        <f t="shared" ref="EV7:EV30" si="41">(EL7*10^9)/(EQ7*10^3)/10^3</f>
        <v>18.818917640660924</v>
      </c>
      <c r="EW7" s="2">
        <f t="shared" ref="EW7:EW30" si="42">(EM7*10^9)/(ER7*10^3)/10^3</f>
        <v>18.432294604923904</v>
      </c>
      <c r="EX7" s="2">
        <f>(EN7*10^9)/(ES7*10^3)/10^3</f>
        <v>53.212713496920671</v>
      </c>
      <c r="EY7" s="2">
        <f>100*(EX7-EV7)/EV7</f>
        <v>182.76181719371098</v>
      </c>
      <c r="EZ7" s="2">
        <f>100*(EX7-EW7)/EW7</f>
        <v>188.69283308170279</v>
      </c>
    </row>
    <row r="8" spans="1:156" x14ac:dyDescent="0.45">
      <c r="A8">
        <v>1992</v>
      </c>
      <c r="B8" s="2">
        <v>189.69799800000001</v>
      </c>
      <c r="C8" s="2">
        <v>163.4</v>
      </c>
      <c r="D8" s="2">
        <f t="shared" si="19"/>
        <v>353.09799800000002</v>
      </c>
      <c r="E8" s="2">
        <f t="shared" si="20"/>
        <v>0.8613691326357592</v>
      </c>
      <c r="F8" s="2"/>
      <c r="G8" s="2">
        <v>19268.636999999999</v>
      </c>
      <c r="H8" s="2"/>
      <c r="I8" s="2">
        <f t="shared" si="0"/>
        <v>9.844910047347927</v>
      </c>
      <c r="J8" s="2">
        <f t="shared" si="1"/>
        <v>18.325011675709082</v>
      </c>
      <c r="N8">
        <v>1992</v>
      </c>
      <c r="O8" s="2">
        <v>151.424239</v>
      </c>
      <c r="P8" s="2">
        <f t="shared" si="2"/>
        <v>130.43216540745991</v>
      </c>
      <c r="Q8" s="2">
        <f t="shared" si="21"/>
        <v>281.85640440745988</v>
      </c>
      <c r="R8" s="2"/>
      <c r="S8" s="2"/>
      <c r="T8" s="2"/>
      <c r="U8" s="2"/>
      <c r="V8" s="2"/>
      <c r="W8" s="2">
        <v>17783.636999999999</v>
      </c>
      <c r="X8" s="2"/>
      <c r="Y8" s="2"/>
      <c r="Z8" s="2"/>
      <c r="AA8" s="2"/>
      <c r="AB8" s="2">
        <f t="shared" si="3"/>
        <v>8.5148071229749007</v>
      </c>
      <c r="AC8" s="2">
        <f t="shared" si="22"/>
        <v>15.849199149052577</v>
      </c>
      <c r="AI8" s="2"/>
      <c r="AJ8" s="2"/>
      <c r="AK8">
        <v>1992</v>
      </c>
      <c r="AL8" s="2">
        <v>38.273758999999998</v>
      </c>
      <c r="AM8" s="2">
        <f t="shared" si="4"/>
        <v>32.967834592540079</v>
      </c>
      <c r="AN8" s="2">
        <f t="shared" si="5"/>
        <v>71.241593592540085</v>
      </c>
      <c r="AO8" s="2">
        <f t="shared" si="23"/>
        <v>22.441101981650128</v>
      </c>
      <c r="AP8" s="2"/>
      <c r="AQ8" s="2"/>
      <c r="AR8" s="2"/>
      <c r="AS8" s="2"/>
      <c r="AV8" s="78">
        <v>1485</v>
      </c>
      <c r="AW8" s="78">
        <f t="shared" si="24"/>
        <v>467.77499999999998</v>
      </c>
      <c r="AX8" s="2"/>
      <c r="AY8" s="2"/>
      <c r="BC8" s="2">
        <f t="shared" si="6"/>
        <v>25.773575084175086</v>
      </c>
      <c r="BD8" s="2">
        <f t="shared" si="7"/>
        <v>47.974137099353591</v>
      </c>
      <c r="BL8" s="2">
        <v>46.664313999999997</v>
      </c>
      <c r="BM8" s="2">
        <f t="shared" si="8"/>
        <v>10.243385999999994</v>
      </c>
      <c r="BN8" s="2">
        <f t="shared" si="9"/>
        <v>56.907699999999991</v>
      </c>
      <c r="BO8" s="2"/>
      <c r="BP8" s="2"/>
      <c r="BQ8" s="2"/>
      <c r="BT8" s="2">
        <v>1785.3710000000001</v>
      </c>
      <c r="BU8" s="2"/>
      <c r="BV8" s="2"/>
      <c r="BW8" s="2"/>
      <c r="BY8" s="2">
        <f t="shared" si="10"/>
        <v>26.137040424651232</v>
      </c>
      <c r="BZ8" s="2">
        <f t="shared" si="25"/>
        <v>31.874439542257598</v>
      </c>
      <c r="CA8" s="2"/>
      <c r="CB8" s="2"/>
      <c r="CC8" s="2"/>
      <c r="CF8" s="2"/>
      <c r="CG8" s="2"/>
      <c r="CH8" s="2">
        <f t="shared" si="11"/>
        <v>236.362312</v>
      </c>
      <c r="CI8" s="2">
        <f t="shared" si="12"/>
        <v>173.64338599999996</v>
      </c>
      <c r="CJ8" s="2">
        <f t="shared" si="13"/>
        <v>410.00569799999994</v>
      </c>
      <c r="CK8" s="2">
        <f t="shared" si="14"/>
        <v>361.20520638911</v>
      </c>
      <c r="CL8" s="2"/>
      <c r="CM8" s="2"/>
      <c r="CR8" s="2">
        <f t="shared" si="15"/>
        <v>21054.007999999998</v>
      </c>
      <c r="CS8" s="2">
        <f t="shared" si="16"/>
        <v>20036.782999999999</v>
      </c>
      <c r="CT8" s="2"/>
      <c r="CU8" s="2"/>
      <c r="CY8" s="2">
        <f t="shared" si="17"/>
        <v>11.22647583301004</v>
      </c>
      <c r="CZ8" s="2">
        <f t="shared" si="18"/>
        <v>19.473997445047043</v>
      </c>
      <c r="DA8" s="2"/>
      <c r="DC8" s="2"/>
      <c r="DF8" s="2"/>
      <c r="DH8">
        <v>1992</v>
      </c>
      <c r="DI8" s="2">
        <v>275.88611600000002</v>
      </c>
      <c r="DJ8" s="2">
        <f t="shared" si="26"/>
        <v>208.44425890499426</v>
      </c>
      <c r="DK8" s="2"/>
      <c r="DL8" s="2">
        <f t="shared" si="31"/>
        <v>67.441857095005759</v>
      </c>
      <c r="DM8" s="82">
        <v>70.7</v>
      </c>
      <c r="DN8" s="2">
        <f t="shared" si="27"/>
        <v>60.456614000000009</v>
      </c>
      <c r="DO8" s="2">
        <f t="shared" si="32"/>
        <v>45.677666871555445</v>
      </c>
      <c r="DP8" s="2">
        <f t="shared" si="33"/>
        <v>14.778947128444564</v>
      </c>
      <c r="DQ8" s="2">
        <f t="shared" si="34"/>
        <v>82.22080422345033</v>
      </c>
      <c r="DR8" s="2"/>
      <c r="DV8" s="2">
        <v>1782.934</v>
      </c>
      <c r="DW8" s="2">
        <f t="shared" si="28"/>
        <v>5.1603574648003185</v>
      </c>
      <c r="DX8" s="2"/>
      <c r="DY8" s="2">
        <f t="shared" si="29"/>
        <v>1777.7736425351995</v>
      </c>
      <c r="DZ8" s="2"/>
      <c r="EA8" s="2"/>
      <c r="EB8" s="2"/>
      <c r="EC8" s="2">
        <f t="shared" si="30"/>
        <v>154.73714450450774</v>
      </c>
      <c r="ED8" s="2">
        <f t="shared" si="35"/>
        <v>37.936132858191151</v>
      </c>
      <c r="EE8" s="2">
        <f t="shared" si="36"/>
        <v>46.249309955005913</v>
      </c>
      <c r="EF8" s="2"/>
      <c r="EK8">
        <v>1992</v>
      </c>
      <c r="EL8" s="2">
        <f t="shared" si="37"/>
        <v>512.24842799999999</v>
      </c>
      <c r="EM8" s="2">
        <f t="shared" si="38"/>
        <v>443.42601061256033</v>
      </c>
      <c r="EN8" s="2"/>
      <c r="EQ8" s="2">
        <f t="shared" si="39"/>
        <v>22836.941999999999</v>
      </c>
      <c r="ER8" s="2">
        <f t="shared" si="40"/>
        <v>21814.556642535201</v>
      </c>
      <c r="ES8" s="2"/>
      <c r="ET8" s="2"/>
      <c r="EV8" s="2">
        <f t="shared" si="41"/>
        <v>22.430692690816485</v>
      </c>
      <c r="EW8" s="2">
        <f t="shared" si="42"/>
        <v>20.327069574631846</v>
      </c>
      <c r="EX8" s="2"/>
    </row>
    <row r="9" spans="1:156" x14ac:dyDescent="0.45">
      <c r="A9">
        <v>1993</v>
      </c>
      <c r="B9" s="2">
        <v>204.21048099999999</v>
      </c>
      <c r="C9" s="2">
        <v>187.1</v>
      </c>
      <c r="D9" s="2">
        <f t="shared" si="19"/>
        <v>391.31048099999998</v>
      </c>
      <c r="E9" s="2">
        <f t="shared" si="20"/>
        <v>0.91621154352013889</v>
      </c>
      <c r="F9" s="2"/>
      <c r="G9" s="2">
        <v>19588.526000000002</v>
      </c>
      <c r="H9" s="2"/>
      <c r="I9" s="2">
        <f t="shared" si="0"/>
        <v>10.425004974851094</v>
      </c>
      <c r="J9" s="2">
        <f t="shared" si="1"/>
        <v>19.976514874064542</v>
      </c>
      <c r="N9">
        <v>1993</v>
      </c>
      <c r="O9" s="2">
        <v>152.79235600000001</v>
      </c>
      <c r="P9" s="2">
        <f t="shared" si="2"/>
        <v>139.99012032883857</v>
      </c>
      <c r="Q9" s="2">
        <f t="shared" si="21"/>
        <v>292.78247632883858</v>
      </c>
      <c r="R9" s="2"/>
      <c r="S9" s="2"/>
      <c r="T9" s="2"/>
      <c r="U9" s="2"/>
      <c r="V9" s="2"/>
      <c r="W9" s="2">
        <v>18120.526000000002</v>
      </c>
      <c r="X9" s="2"/>
      <c r="Y9" s="2"/>
      <c r="Z9" s="2"/>
      <c r="AA9" s="2"/>
      <c r="AB9" s="2">
        <f t="shared" si="3"/>
        <v>8.4320044572657551</v>
      </c>
      <c r="AC9" s="2">
        <f t="shared" si="22"/>
        <v>16.157504276025904</v>
      </c>
      <c r="AI9" s="2"/>
      <c r="AJ9" s="2"/>
      <c r="AK9">
        <v>1993</v>
      </c>
      <c r="AL9" s="2">
        <v>51.418125000000003</v>
      </c>
      <c r="AM9" s="2">
        <f t="shared" si="4"/>
        <v>47.109879671161444</v>
      </c>
      <c r="AN9" s="2">
        <f t="shared" si="5"/>
        <v>98.528004671161455</v>
      </c>
      <c r="AO9" s="2">
        <f t="shared" si="23"/>
        <v>31.03632147141586</v>
      </c>
      <c r="AP9" s="2"/>
      <c r="AQ9" s="2"/>
      <c r="AR9" s="2"/>
      <c r="AS9" s="2"/>
      <c r="AV9" s="78">
        <v>1468</v>
      </c>
      <c r="AW9" s="78">
        <f t="shared" si="24"/>
        <v>462.42</v>
      </c>
      <c r="AX9" s="2"/>
      <c r="AY9" s="2"/>
      <c r="BC9" s="2">
        <f t="shared" si="6"/>
        <v>35.02597070844687</v>
      </c>
      <c r="BD9" s="2">
        <f t="shared" si="7"/>
        <v>67.117169394524154</v>
      </c>
      <c r="BL9" s="2">
        <v>54.531671000000003</v>
      </c>
      <c r="BM9" s="2">
        <f t="shared" si="8"/>
        <v>11.97036680487804</v>
      </c>
      <c r="BN9" s="2">
        <f t="shared" si="9"/>
        <v>66.502037804878043</v>
      </c>
      <c r="BO9" s="2"/>
      <c r="BP9" s="2"/>
      <c r="BQ9" s="2"/>
      <c r="BT9" s="2">
        <v>1901.5050000000001</v>
      </c>
      <c r="BU9" s="2"/>
      <c r="BV9" s="2"/>
      <c r="BW9" s="2"/>
      <c r="BY9" s="2">
        <f t="shared" si="10"/>
        <v>28.678163349557327</v>
      </c>
      <c r="BZ9" s="2">
        <f t="shared" si="25"/>
        <v>34.973369938484538</v>
      </c>
      <c r="CA9" s="2"/>
      <c r="CB9" s="2"/>
      <c r="CC9" s="2"/>
      <c r="CF9" s="2"/>
      <c r="CG9" s="2"/>
      <c r="CH9" s="2">
        <f t="shared" si="11"/>
        <v>258.74215200000003</v>
      </c>
      <c r="CI9" s="2">
        <f t="shared" si="12"/>
        <v>199.07036680487806</v>
      </c>
      <c r="CJ9" s="2">
        <f t="shared" si="13"/>
        <v>457.8125188048781</v>
      </c>
      <c r="CK9" s="2">
        <f t="shared" si="14"/>
        <v>390.32083560513252</v>
      </c>
      <c r="CL9" s="2"/>
      <c r="CM9" s="2"/>
      <c r="CR9" s="2">
        <f t="shared" si="15"/>
        <v>21490.031000000003</v>
      </c>
      <c r="CS9" s="2">
        <f t="shared" si="16"/>
        <v>20484.451000000001</v>
      </c>
      <c r="CT9" s="2"/>
      <c r="CU9" s="2"/>
      <c r="CY9" s="2">
        <f t="shared" si="17"/>
        <v>12.040101384683901</v>
      </c>
      <c r="CZ9" s="2">
        <f t="shared" si="18"/>
        <v>21.303483406090855</v>
      </c>
      <c r="DA9" s="2"/>
      <c r="DC9" s="2"/>
      <c r="DF9" s="2"/>
      <c r="DH9">
        <v>1993</v>
      </c>
      <c r="DI9" s="2">
        <v>348.69154800000001</v>
      </c>
      <c r="DJ9" s="2">
        <f t="shared" si="26"/>
        <v>263.45200825290982</v>
      </c>
      <c r="DK9" s="2"/>
      <c r="DL9" s="2">
        <f t="shared" si="31"/>
        <v>85.239539747090191</v>
      </c>
      <c r="DM9" s="82">
        <v>72.5</v>
      </c>
      <c r="DN9" s="2">
        <f t="shared" si="27"/>
        <v>60.52963319512196</v>
      </c>
      <c r="DO9" s="2">
        <f t="shared" si="32"/>
        <v>45.732836128470986</v>
      </c>
      <c r="DP9" s="2">
        <f t="shared" si="33"/>
        <v>14.796797066650974</v>
      </c>
      <c r="DQ9" s="2">
        <f t="shared" si="34"/>
        <v>100.03633681374117</v>
      </c>
      <c r="DR9" s="2"/>
      <c r="DV9" s="2">
        <v>1775.931</v>
      </c>
      <c r="DW9" s="2">
        <f t="shared" si="28"/>
        <v>5.1400886363826679</v>
      </c>
      <c r="DX9" s="2"/>
      <c r="DY9" s="2">
        <f t="shared" si="29"/>
        <v>1770.7909113636174</v>
      </c>
      <c r="DZ9" s="2"/>
      <c r="EA9" s="2"/>
      <c r="EB9" s="2"/>
      <c r="EC9" s="2">
        <f t="shared" si="30"/>
        <v>196.34295927037707</v>
      </c>
      <c r="ED9" s="2">
        <f t="shared" si="35"/>
        <v>48.136422657291902</v>
      </c>
      <c r="EE9" s="2">
        <f t="shared" si="36"/>
        <v>56.492461177535105</v>
      </c>
      <c r="EF9" s="2"/>
      <c r="EK9">
        <v>1993</v>
      </c>
      <c r="EL9" s="2">
        <f t="shared" si="37"/>
        <v>607.43370000000004</v>
      </c>
      <c r="EM9" s="2">
        <f t="shared" si="38"/>
        <v>490.35717241887369</v>
      </c>
      <c r="EN9" s="2"/>
      <c r="EQ9" s="2">
        <f t="shared" si="39"/>
        <v>23265.962000000003</v>
      </c>
      <c r="ER9" s="2">
        <f t="shared" si="40"/>
        <v>22255.241911363617</v>
      </c>
      <c r="ES9" s="2"/>
      <c r="ET9" s="2"/>
      <c r="EV9" s="2">
        <f t="shared" si="41"/>
        <v>26.108256344611924</v>
      </c>
      <c r="EW9" s="2">
        <f t="shared" si="42"/>
        <v>22.033333736466616</v>
      </c>
      <c r="EX9" s="2"/>
    </row>
    <row r="10" spans="1:156" x14ac:dyDescent="0.45">
      <c r="A10">
        <v>1994</v>
      </c>
      <c r="B10" s="2">
        <v>215.72501199999999</v>
      </c>
      <c r="C10" s="2">
        <v>211.2</v>
      </c>
      <c r="D10" s="2">
        <f t="shared" si="19"/>
        <v>426.92501199999998</v>
      </c>
      <c r="E10" s="2">
        <f t="shared" si="20"/>
        <v>0.97902416619172561</v>
      </c>
      <c r="F10" s="2">
        <v>721.75421200000005</v>
      </c>
      <c r="G10" s="2">
        <v>19890.195</v>
      </c>
      <c r="H10" s="2">
        <v>8962.6254200000003</v>
      </c>
      <c r="I10" s="2">
        <f t="shared" si="0"/>
        <v>10.845796735527228</v>
      </c>
      <c r="J10" s="2">
        <f t="shared" si="1"/>
        <v>21.464093841211714</v>
      </c>
      <c r="K10" s="2">
        <f>(F10*10^9)/(H10*10^3)/10^3</f>
        <v>80.529329094733058</v>
      </c>
      <c r="L10" s="2"/>
      <c r="M10" s="2"/>
      <c r="N10">
        <v>1994</v>
      </c>
      <c r="O10" s="2">
        <v>159.42056700000001</v>
      </c>
      <c r="P10" s="2">
        <f t="shared" si="2"/>
        <v>156.07658768098713</v>
      </c>
      <c r="Q10" s="2">
        <f t="shared" si="21"/>
        <v>315.49715468098714</v>
      </c>
      <c r="R10" s="2">
        <v>164.85641200000001</v>
      </c>
      <c r="S10" s="2">
        <v>145.80908028288499</v>
      </c>
      <c r="T10" s="2">
        <v>196.31645162222961</v>
      </c>
      <c r="U10" s="2">
        <f>100*(R10-O10)/O10</f>
        <v>3.4097513904840149</v>
      </c>
      <c r="V10" s="2">
        <f>100*(R10-Q10)/Q10</f>
        <v>-47.747100234012102</v>
      </c>
      <c r="W10" s="2">
        <v>18396.195</v>
      </c>
      <c r="X10" s="2">
        <v>7386.4000999999998</v>
      </c>
      <c r="Y10" s="2">
        <v>6855.7166499999994</v>
      </c>
      <c r="Z10" s="2">
        <v>8048.7533000000003</v>
      </c>
      <c r="AA10" s="2">
        <f>100*(X10-W10)/W10</f>
        <v>-59.84821806900829</v>
      </c>
      <c r="AB10" s="2">
        <f t="shared" si="3"/>
        <v>8.6659533126279644</v>
      </c>
      <c r="AC10" s="2">
        <f t="shared" si="22"/>
        <v>17.150131028779978</v>
      </c>
      <c r="AD10" s="2">
        <f>(R10*10^9)/(X10*10^3)/10^3</f>
        <v>22.318911752424569</v>
      </c>
      <c r="AE10" s="2">
        <v>19.81629674777157</v>
      </c>
      <c r="AF10" s="2">
        <v>26.480140437205481</v>
      </c>
      <c r="AG10" s="2">
        <f>100*(AD10-AB10)/AB10</f>
        <v>157.54710355872345</v>
      </c>
      <c r="AH10" s="2">
        <f>100*(AD10-AC10)/AC10</f>
        <v>30.13843284911793</v>
      </c>
      <c r="AI10" s="2"/>
      <c r="AJ10" s="2"/>
      <c r="AK10">
        <v>1994</v>
      </c>
      <c r="AL10" s="2">
        <v>56.304445000000001</v>
      </c>
      <c r="AM10" s="2">
        <f t="shared" si="4"/>
        <v>55.123412319012878</v>
      </c>
      <c r="AN10" s="2">
        <f t="shared" si="5"/>
        <v>111.42785731901287</v>
      </c>
      <c r="AO10" s="2">
        <f t="shared" si="23"/>
        <v>35.099775055489054</v>
      </c>
      <c r="AP10" s="2">
        <v>556.89779999999996</v>
      </c>
      <c r="AQ10" s="2">
        <v>102.0918472435412</v>
      </c>
      <c r="AR10" s="2">
        <v>1399.803388116658</v>
      </c>
      <c r="AS10" s="2">
        <f>100*(AP10-AL10)/AL10</f>
        <v>889.08318872515304</v>
      </c>
      <c r="AT10" s="2">
        <f>100*(AP10-AN10)/AN10</f>
        <v>399.78327987195064</v>
      </c>
      <c r="AU10" s="2">
        <f>100*(AP10-AO10)/AO10</f>
        <v>1486.6135868950812</v>
      </c>
      <c r="AV10" s="78">
        <v>1494</v>
      </c>
      <c r="AW10" s="78">
        <f t="shared" si="24"/>
        <v>470.61</v>
      </c>
      <c r="AX10" s="2">
        <v>1576.22532</v>
      </c>
      <c r="AY10" s="2">
        <v>1390.502864016941</v>
      </c>
      <c r="AZ10" s="2">
        <v>1792.9290419580079</v>
      </c>
      <c r="BA10" s="2">
        <f>100*(AX10-AV10)/AV10</f>
        <v>5.5037028112449811</v>
      </c>
      <c r="BB10" s="2">
        <f>100*(AX10-AW10)/AW10</f>
        <v>234.93238987696816</v>
      </c>
      <c r="BC10" s="2">
        <f t="shared" si="6"/>
        <v>37.687044846050874</v>
      </c>
      <c r="BD10" s="2">
        <f t="shared" si="7"/>
        <v>74.583572502685996</v>
      </c>
      <c r="BE10" s="2">
        <f>(AP10*10^9)/(AX10*10^3)/10^3</f>
        <v>353.31103550601506</v>
      </c>
      <c r="BF10" s="2">
        <v>66.347720681647502</v>
      </c>
      <c r="BG10" s="2">
        <v>840.98362679230547</v>
      </c>
      <c r="BH10" s="2">
        <f>100*(BE10-BC10)/BC10</f>
        <v>837.48670650423151</v>
      </c>
      <c r="BI10" s="2">
        <f>100*(BE10-BD10)/BD10</f>
        <v>373.71160116162463</v>
      </c>
      <c r="BJ10" s="2"/>
      <c r="BK10" s="2"/>
      <c r="BL10" s="2">
        <v>74.422618</v>
      </c>
      <c r="BM10" s="2">
        <f t="shared" si="8"/>
        <v>16.336672243902427</v>
      </c>
      <c r="BN10" s="2">
        <f t="shared" si="9"/>
        <v>90.759290243902427</v>
      </c>
      <c r="BO10" s="2">
        <v>192.488</v>
      </c>
      <c r="BP10" s="2">
        <v>160.19404375739231</v>
      </c>
      <c r="BQ10" s="2">
        <v>253.97627645740491</v>
      </c>
      <c r="BR10" s="2">
        <f>100*(BO10-BL10)/BL10</f>
        <v>158.64180160929033</v>
      </c>
      <c r="BS10" s="2">
        <f>100*(BO10-BN10)/BN10</f>
        <v>112.08627731961811</v>
      </c>
      <c r="BT10" s="2">
        <v>2023.7539999999999</v>
      </c>
      <c r="BU10" s="2">
        <v>1378.89627</v>
      </c>
      <c r="BV10" s="2">
        <v>1228.3151818471911</v>
      </c>
      <c r="BW10" s="2">
        <v>1632.2441704002749</v>
      </c>
      <c r="BX10" s="2">
        <f>100*(BU10-BT10)/BT10</f>
        <v>-31.864432633610605</v>
      </c>
      <c r="BY10" s="2">
        <f t="shared" si="10"/>
        <v>36.774537814378625</v>
      </c>
      <c r="BZ10" s="2">
        <f t="shared" si="25"/>
        <v>44.846997334608076</v>
      </c>
      <c r="CA10" s="2">
        <f>(BO10*10^9)/(BU10*10^3)/10^3</f>
        <v>139.5957072245906</v>
      </c>
      <c r="CB10" s="2">
        <v>111.7989848843695</v>
      </c>
      <c r="CC10" s="2">
        <v>182.1847123657536</v>
      </c>
      <c r="CD10" s="2">
        <f>100*(CA10-BY10)/BY10</f>
        <v>279.59880809163974</v>
      </c>
      <c r="CE10" s="2">
        <f>100*(CA10-BZ10)/BZ10</f>
        <v>211.27102263514462</v>
      </c>
      <c r="CF10" s="2"/>
      <c r="CG10" s="2"/>
      <c r="CH10" s="2">
        <f t="shared" si="11"/>
        <v>290.14762999999999</v>
      </c>
      <c r="CI10" s="2">
        <f t="shared" si="12"/>
        <v>227.53667224390244</v>
      </c>
      <c r="CJ10" s="2">
        <f t="shared" si="13"/>
        <v>517.68430224390249</v>
      </c>
      <c r="CK10" s="2">
        <f t="shared" si="14"/>
        <v>441.35621998037857</v>
      </c>
      <c r="CL10" s="2">
        <f>BO10+AP10+R10</f>
        <v>914.24221199999999</v>
      </c>
      <c r="CM10" s="2">
        <v>474.24128185555492</v>
      </c>
      <c r="CN10" s="2">
        <v>1753.6980724337061</v>
      </c>
      <c r="CO10" s="2">
        <f>100*(CL10-CH10)/CH10</f>
        <v>215.09552981701071</v>
      </c>
      <c r="CP10" s="2">
        <f>100*(CL10-CJ10)/CJ10</f>
        <v>76.602266678208579</v>
      </c>
      <c r="CQ10" s="2">
        <f>100*(CL10-CK10)/CK10</f>
        <v>107.14383770113052</v>
      </c>
      <c r="CR10" s="2">
        <f t="shared" si="15"/>
        <v>21913.949000000001</v>
      </c>
      <c r="CS10" s="2">
        <f t="shared" si="16"/>
        <v>20890.559000000001</v>
      </c>
      <c r="CT10" s="2">
        <f>BU10+AX10+X10</f>
        <v>10341.52169</v>
      </c>
      <c r="CU10" s="2">
        <v>9839.2533155112178</v>
      </c>
      <c r="CV10" s="2">
        <v>1792.9290419580079</v>
      </c>
      <c r="CW10" s="2">
        <f>100*(CT10-CR10)/CR10</f>
        <v>-52.808497957168747</v>
      </c>
      <c r="CX10" s="2">
        <f>100*(CT10-CS10)/CS10</f>
        <v>-50.496673210132869</v>
      </c>
      <c r="CY10" s="2">
        <f t="shared" si="17"/>
        <v>13.240316932379463</v>
      </c>
      <c r="CZ10" s="2">
        <f t="shared" si="18"/>
        <v>23.623505842963421</v>
      </c>
      <c r="DA10" s="2">
        <f>(CL10*10^9)/(CT10*10^3)/10^3</f>
        <v>88.404998742501306</v>
      </c>
      <c r="DB10" s="2">
        <v>45.490090870314667</v>
      </c>
      <c r="DC10" s="2">
        <v>168.77491097493879</v>
      </c>
      <c r="DD10" s="2">
        <f>100*(DA10-CY10)/CY10</f>
        <v>567.6954879101504</v>
      </c>
      <c r="DE10" s="2">
        <f>100*(DA10-CZ10)/CZ10</f>
        <v>274.22472062432644</v>
      </c>
      <c r="DF10" s="2"/>
      <c r="DH10">
        <v>1994</v>
      </c>
      <c r="DI10" s="2">
        <v>420.09461199999998</v>
      </c>
      <c r="DJ10" s="2">
        <f t="shared" si="26"/>
        <v>317.40020606300141</v>
      </c>
      <c r="DK10" s="2"/>
      <c r="DL10" s="2">
        <f t="shared" si="31"/>
        <v>102.69440593699858</v>
      </c>
      <c r="DM10" s="82">
        <v>78.099999999999994</v>
      </c>
      <c r="DN10" s="2">
        <f t="shared" si="27"/>
        <v>61.763327756097567</v>
      </c>
      <c r="DO10" s="2">
        <f t="shared" si="32"/>
        <v>46.664947364100115</v>
      </c>
      <c r="DP10" s="2">
        <f t="shared" si="33"/>
        <v>15.098380391997452</v>
      </c>
      <c r="DQ10" s="2">
        <f t="shared" si="34"/>
        <v>117.79278632899603</v>
      </c>
      <c r="DR10" s="2">
        <v>175.677041</v>
      </c>
      <c r="DS10" s="2">
        <f>100*(DR10-DI10)/DI10</f>
        <v>-58.181553397309465</v>
      </c>
      <c r="DT10" s="2">
        <f>100*(DR10-DL10)/DL10</f>
        <v>71.067780564186847</v>
      </c>
      <c r="DU10" s="2">
        <f>100*(DR10-DQ10)/DQ10</f>
        <v>49.140746623764265</v>
      </c>
      <c r="DV10" s="2">
        <v>2038.87</v>
      </c>
      <c r="DW10" s="2">
        <f t="shared" si="28"/>
        <v>5.9011146931167531</v>
      </c>
      <c r="DX10" s="2"/>
      <c r="DY10" s="2">
        <f t="shared" si="29"/>
        <v>2032.9688853068831</v>
      </c>
      <c r="DZ10" s="2">
        <v>1023.539817</v>
      </c>
      <c r="EA10" s="2">
        <f>100*(DZ10-DV10)/DV10</f>
        <v>-49.798671960448679</v>
      </c>
      <c r="EB10" s="2">
        <f>100*(DZ10-DY10)/DY10</f>
        <v>-49.652952172679548</v>
      </c>
      <c r="EC10" s="2">
        <f t="shared" si="30"/>
        <v>206.04286295840342</v>
      </c>
      <c r="ED10" s="2">
        <f t="shared" si="35"/>
        <v>50.514499596729699</v>
      </c>
      <c r="EE10" s="2">
        <f t="shared" si="36"/>
        <v>57.941263725349557</v>
      </c>
      <c r="EF10" s="2">
        <f>(DR10*10^9)/(DZ10*10^3)/10^3</f>
        <v>171.63674346828074</v>
      </c>
      <c r="EG10" s="2">
        <f>100*(EF10-EC10)/EC10</f>
        <v>-16.698525246695244</v>
      </c>
      <c r="EH10" s="2">
        <f>100*(EF10-ED10)/ED10</f>
        <v>239.77718246939236</v>
      </c>
      <c r="EI10" s="2">
        <f>100*(EF10-EE10)/EE10</f>
        <v>196.22540557945911</v>
      </c>
      <c r="EK10">
        <v>1994</v>
      </c>
      <c r="EL10" s="2">
        <f t="shared" si="37"/>
        <v>710.24224200000003</v>
      </c>
      <c r="EM10" s="2">
        <f t="shared" si="38"/>
        <v>559.14900630937461</v>
      </c>
      <c r="EN10" s="2">
        <f>DR10+CL10</f>
        <v>1089.919253</v>
      </c>
      <c r="EO10" s="2">
        <f>100*(EN10-EL10)/EL10</f>
        <v>53.457396441367955</v>
      </c>
      <c r="EP10" s="2">
        <f>100*(EN10-EM10)/EM10</f>
        <v>94.924651694176958</v>
      </c>
      <c r="EQ10" s="2">
        <f t="shared" si="39"/>
        <v>23952.819</v>
      </c>
      <c r="ER10" s="2">
        <f t="shared" si="40"/>
        <v>22923.527885306885</v>
      </c>
      <c r="ES10" s="2">
        <f>DZ10+CT10</f>
        <v>11365.061507</v>
      </c>
      <c r="ET10" s="2">
        <f>100*(ES10-EQ10)/EQ10</f>
        <v>-52.552300808518616</v>
      </c>
      <c r="EU10" s="2">
        <f>100*(ES10-ER10)/ER10</f>
        <v>-50.421847963966421</v>
      </c>
      <c r="EV10" s="2">
        <f t="shared" si="41"/>
        <v>29.651718321755784</v>
      </c>
      <c r="EW10" s="2">
        <f t="shared" si="42"/>
        <v>24.391926456824653</v>
      </c>
      <c r="EX10" s="2">
        <f>(EN10*10^9)/(ES10*10^3)/10^3</f>
        <v>95.900867085382146</v>
      </c>
      <c r="EY10" s="2">
        <f>100*(EX10-EV10)/EV10</f>
        <v>223.42431573356291</v>
      </c>
      <c r="EZ10" s="2">
        <f>100*(EX10-EW10)/EW10</f>
        <v>293.1664325699453</v>
      </c>
    </row>
    <row r="11" spans="1:156" x14ac:dyDescent="0.45">
      <c r="A11">
        <v>1995</v>
      </c>
      <c r="B11" s="2">
        <v>222.27100100000001</v>
      </c>
      <c r="C11" s="2">
        <v>234.8</v>
      </c>
      <c r="D11" s="2">
        <f t="shared" si="19"/>
        <v>457.07100100000002</v>
      </c>
      <c r="E11" s="2">
        <f t="shared" si="20"/>
        <v>1.0563681224434671</v>
      </c>
      <c r="F11" s="2"/>
      <c r="G11" s="2">
        <v>20224.115000000002</v>
      </c>
      <c r="H11" s="2"/>
      <c r="I11" s="2">
        <f t="shared" si="0"/>
        <v>10.990394437531629</v>
      </c>
      <c r="J11" s="2">
        <f t="shared" si="1"/>
        <v>22.600296774420045</v>
      </c>
      <c r="N11">
        <v>1995</v>
      </c>
      <c r="O11" s="2">
        <v>161.41269600000001</v>
      </c>
      <c r="P11" s="2">
        <f t="shared" si="2"/>
        <v>170.51122661205815</v>
      </c>
      <c r="Q11" s="2">
        <f t="shared" si="21"/>
        <v>331.92392261205816</v>
      </c>
      <c r="R11" s="2"/>
      <c r="S11" s="2"/>
      <c r="T11" s="2"/>
      <c r="U11" s="2"/>
      <c r="V11" s="2"/>
      <c r="W11" s="2">
        <v>18643.115000000002</v>
      </c>
      <c r="X11" s="2"/>
      <c r="Y11" s="2"/>
      <c r="Z11" s="2"/>
      <c r="AA11" s="2"/>
      <c r="AB11" s="2">
        <f t="shared" si="3"/>
        <v>8.6580325229984378</v>
      </c>
      <c r="AC11" s="2">
        <f t="shared" si="22"/>
        <v>17.804102083372772</v>
      </c>
      <c r="AI11" s="2"/>
      <c r="AJ11" s="2"/>
      <c r="AK11">
        <v>1995</v>
      </c>
      <c r="AL11" s="2">
        <v>60.858305000000001</v>
      </c>
      <c r="AM11" s="2">
        <f t="shared" si="4"/>
        <v>64.288773387941873</v>
      </c>
      <c r="AN11" s="2">
        <f t="shared" si="5"/>
        <v>125.14707838794187</v>
      </c>
      <c r="AO11" s="2">
        <f t="shared" si="23"/>
        <v>39.421329692201688</v>
      </c>
      <c r="AP11" s="2"/>
      <c r="AQ11" s="2"/>
      <c r="AR11" s="2"/>
      <c r="AS11" s="2"/>
      <c r="AV11" s="78">
        <v>1581</v>
      </c>
      <c r="AW11" s="78">
        <f t="shared" si="24"/>
        <v>498.01499999999999</v>
      </c>
      <c r="AX11" s="2"/>
      <c r="AY11" s="2"/>
      <c r="BC11" s="2">
        <f t="shared" si="6"/>
        <v>38.493551549652118</v>
      </c>
      <c r="BD11" s="2">
        <f t="shared" si="7"/>
        <v>79.156912326338954</v>
      </c>
      <c r="BL11" s="2">
        <v>77.511418000000006</v>
      </c>
      <c r="BM11" s="2">
        <f t="shared" si="8"/>
        <v>17.014701512195117</v>
      </c>
      <c r="BN11" s="2">
        <f t="shared" si="9"/>
        <v>94.526119512195123</v>
      </c>
      <c r="BO11" s="2"/>
      <c r="BP11" s="2"/>
      <c r="BQ11" s="2"/>
      <c r="BT11" s="2">
        <v>2153.1190000000001</v>
      </c>
      <c r="BU11" s="2"/>
      <c r="BV11" s="2"/>
      <c r="BW11" s="2"/>
      <c r="BY11" s="2">
        <f t="shared" si="10"/>
        <v>35.999597792783405</v>
      </c>
      <c r="BZ11" s="2">
        <f t="shared" si="25"/>
        <v>43.90194852778464</v>
      </c>
      <c r="CA11" s="2"/>
      <c r="CB11" s="2"/>
      <c r="CC11" s="2"/>
      <c r="CF11" s="2"/>
      <c r="CG11" s="2"/>
      <c r="CH11" s="2">
        <f t="shared" si="11"/>
        <v>299.782419</v>
      </c>
      <c r="CI11" s="2">
        <f t="shared" si="12"/>
        <v>251.81470151219514</v>
      </c>
      <c r="CJ11" s="2">
        <f t="shared" si="13"/>
        <v>551.59712051219515</v>
      </c>
      <c r="CK11" s="2">
        <f t="shared" si="14"/>
        <v>465.871371816455</v>
      </c>
      <c r="CL11" s="2"/>
      <c r="CM11" s="2"/>
      <c r="CR11" s="2">
        <f t="shared" si="15"/>
        <v>22377.234</v>
      </c>
      <c r="CS11" s="2">
        <f t="shared" si="16"/>
        <v>21294.249</v>
      </c>
      <c r="CT11" s="2"/>
      <c r="CU11" s="2"/>
      <c r="CY11" s="2">
        <f t="shared" si="17"/>
        <v>13.396759358194137</v>
      </c>
      <c r="CZ11" s="2">
        <f t="shared" si="18"/>
        <v>24.649924137728338</v>
      </c>
      <c r="DA11" s="2"/>
      <c r="DC11" s="2"/>
      <c r="DF11" s="2"/>
      <c r="DH11">
        <v>1995</v>
      </c>
      <c r="DI11" s="2">
        <v>489.134503</v>
      </c>
      <c r="DJ11" s="2">
        <f t="shared" si="26"/>
        <v>369.56292132764554</v>
      </c>
      <c r="DK11" s="2"/>
      <c r="DL11" s="2">
        <f t="shared" si="31"/>
        <v>119.57158167235445</v>
      </c>
      <c r="DM11" s="82">
        <v>85.7</v>
      </c>
      <c r="DN11" s="2">
        <f t="shared" si="27"/>
        <v>68.685298487804886</v>
      </c>
      <c r="DO11" s="2">
        <f t="shared" si="32"/>
        <v>51.894804814892574</v>
      </c>
      <c r="DP11" s="2">
        <f t="shared" si="33"/>
        <v>16.790493672912312</v>
      </c>
      <c r="DQ11" s="2">
        <f t="shared" si="34"/>
        <v>136.36207534526676</v>
      </c>
      <c r="DR11" s="2"/>
      <c r="DV11" s="2">
        <v>2043.818</v>
      </c>
      <c r="DW11" s="2">
        <f t="shared" si="28"/>
        <v>5.9154357216774471</v>
      </c>
      <c r="DX11" s="2"/>
      <c r="DY11" s="2">
        <f t="shared" si="29"/>
        <v>2037.9025642783226</v>
      </c>
      <c r="DZ11" s="2"/>
      <c r="EA11" s="2"/>
      <c r="EB11" s="2"/>
      <c r="EC11" s="2">
        <f t="shared" si="30"/>
        <v>239.32390408539311</v>
      </c>
      <c r="ED11" s="2">
        <f t="shared" si="35"/>
        <v>58.673846222229983</v>
      </c>
      <c r="EE11" s="2">
        <f t="shared" si="36"/>
        <v>66.912951450922932</v>
      </c>
      <c r="EF11" s="2"/>
      <c r="EK11">
        <v>1995</v>
      </c>
      <c r="EL11" s="2">
        <f t="shared" si="37"/>
        <v>788.916922</v>
      </c>
      <c r="EM11" s="2">
        <f t="shared" si="38"/>
        <v>602.23344716172176</v>
      </c>
      <c r="EN11" s="2"/>
      <c r="EQ11" s="2">
        <f t="shared" si="39"/>
        <v>24421.052</v>
      </c>
      <c r="ER11" s="2">
        <f t="shared" si="40"/>
        <v>23332.151564278323</v>
      </c>
      <c r="ES11" s="2"/>
      <c r="ET11" s="2"/>
      <c r="EV11" s="2">
        <f t="shared" si="41"/>
        <v>32.304788589779015</v>
      </c>
      <c r="EW11" s="2">
        <f t="shared" si="42"/>
        <v>25.81131215021529</v>
      </c>
      <c r="EX11" s="2"/>
    </row>
    <row r="12" spans="1:156" x14ac:dyDescent="0.45">
      <c r="A12">
        <v>1996</v>
      </c>
      <c r="B12" s="2">
        <v>259.50148000000002</v>
      </c>
      <c r="C12" s="2">
        <v>260.10000000000002</v>
      </c>
      <c r="D12" s="2">
        <f t="shared" si="19"/>
        <v>519.60148000000004</v>
      </c>
      <c r="E12" s="2">
        <f t="shared" si="20"/>
        <v>1.002306422298632</v>
      </c>
      <c r="F12" s="2"/>
      <c r="G12" s="2">
        <v>20791.047999999999</v>
      </c>
      <c r="H12" s="2"/>
      <c r="I12" s="2">
        <f t="shared" si="0"/>
        <v>12.481404496781499</v>
      </c>
      <c r="J12" s="2">
        <f t="shared" si="1"/>
        <v>24.991596383212624</v>
      </c>
      <c r="N12">
        <v>1996</v>
      </c>
      <c r="O12" s="2">
        <v>169.643708</v>
      </c>
      <c r="P12" s="2">
        <f t="shared" si="2"/>
        <v>170.03497803095382</v>
      </c>
      <c r="Q12" s="2">
        <f t="shared" si="21"/>
        <v>339.67868603095383</v>
      </c>
      <c r="R12" s="2"/>
      <c r="S12" s="2"/>
      <c r="T12" s="2"/>
      <c r="U12" s="2"/>
      <c r="V12" s="2"/>
      <c r="W12" s="2">
        <v>19143.047999999999</v>
      </c>
      <c r="X12" s="2"/>
      <c r="Y12" s="2"/>
      <c r="Z12" s="2"/>
      <c r="AA12" s="2"/>
      <c r="AB12" s="2">
        <f t="shared" si="3"/>
        <v>8.8618963918389575</v>
      </c>
      <c r="AC12" s="2">
        <f t="shared" si="22"/>
        <v>17.744232059124226</v>
      </c>
      <c r="AI12" s="2"/>
      <c r="AJ12" s="2"/>
      <c r="AK12">
        <v>1996</v>
      </c>
      <c r="AL12" s="2">
        <v>89.857771999999997</v>
      </c>
      <c r="AM12" s="2">
        <f t="shared" si="4"/>
        <v>90.065021969046185</v>
      </c>
      <c r="AN12" s="2">
        <f t="shared" si="5"/>
        <v>179.92279396904618</v>
      </c>
      <c r="AO12" s="2">
        <f t="shared" si="23"/>
        <v>56.675680100249551</v>
      </c>
      <c r="AP12" s="2"/>
      <c r="AQ12" s="2"/>
      <c r="AR12" s="2"/>
      <c r="AS12" s="2"/>
      <c r="AV12" s="78">
        <v>1648</v>
      </c>
      <c r="AW12" s="78">
        <f t="shared" si="24"/>
        <v>519.12</v>
      </c>
      <c r="AX12" s="2"/>
      <c r="AY12" s="2"/>
      <c r="BC12" s="2">
        <f t="shared" si="6"/>
        <v>54.525347087378641</v>
      </c>
      <c r="BD12" s="2">
        <f t="shared" si="7"/>
        <v>109.17645265112026</v>
      </c>
      <c r="BL12" s="2">
        <v>93.858492999999996</v>
      </c>
      <c r="BM12" s="2">
        <f t="shared" si="8"/>
        <v>20.603083829268286</v>
      </c>
      <c r="BN12" s="2">
        <f t="shared" si="9"/>
        <v>114.46157682926828</v>
      </c>
      <c r="BO12" s="2"/>
      <c r="BP12" s="2"/>
      <c r="BQ12" s="2"/>
      <c r="BT12" s="2">
        <v>2304.4160000000002</v>
      </c>
      <c r="BU12" s="2"/>
      <c r="BV12" s="2"/>
      <c r="BW12" s="2"/>
      <c r="BY12" s="2">
        <f t="shared" si="10"/>
        <v>40.72983914362684</v>
      </c>
      <c r="BZ12" s="2">
        <f t="shared" si="25"/>
        <v>49.670535541008341</v>
      </c>
      <c r="CA12" s="2"/>
      <c r="CB12" s="2"/>
      <c r="CC12" s="2"/>
      <c r="CF12" s="2"/>
      <c r="CG12" s="2"/>
      <c r="CH12" s="2">
        <f t="shared" si="11"/>
        <v>353.35997299999997</v>
      </c>
      <c r="CI12" s="2">
        <f t="shared" si="12"/>
        <v>280.70308382926828</v>
      </c>
      <c r="CJ12" s="2">
        <f t="shared" si="13"/>
        <v>634.06305682926825</v>
      </c>
      <c r="CK12" s="2">
        <f t="shared" si="14"/>
        <v>510.81594296047166</v>
      </c>
      <c r="CL12" s="2"/>
      <c r="CM12" s="2"/>
      <c r="CR12" s="2">
        <f t="shared" si="15"/>
        <v>23095.464</v>
      </c>
      <c r="CS12" s="2">
        <f t="shared" si="16"/>
        <v>21966.583999999999</v>
      </c>
      <c r="CT12" s="2"/>
      <c r="CU12" s="2"/>
      <c r="CY12" s="2">
        <f t="shared" si="17"/>
        <v>15.299972886450774</v>
      </c>
      <c r="CZ12" s="2">
        <f t="shared" si="18"/>
        <v>27.454008147628826</v>
      </c>
      <c r="DA12" s="2"/>
      <c r="DC12" s="2"/>
      <c r="DF12" s="2"/>
      <c r="DH12">
        <v>1996</v>
      </c>
      <c r="DI12" s="2">
        <v>520.41069500000003</v>
      </c>
      <c r="DJ12" s="2">
        <f t="shared" si="26"/>
        <v>393.19347859284085</v>
      </c>
      <c r="DK12" s="2"/>
      <c r="DL12" s="2">
        <f t="shared" si="31"/>
        <v>127.21721640715919</v>
      </c>
      <c r="DM12" s="82">
        <v>94.1</v>
      </c>
      <c r="DN12" s="2">
        <f t="shared" si="27"/>
        <v>73.496916170731708</v>
      </c>
      <c r="DO12" s="2">
        <f t="shared" si="32"/>
        <v>55.530196463422826</v>
      </c>
      <c r="DP12" s="2">
        <f t="shared" si="33"/>
        <v>17.966719707308883</v>
      </c>
      <c r="DQ12" s="2">
        <f t="shared" si="34"/>
        <v>145.18393611446805</v>
      </c>
      <c r="DR12" s="2"/>
      <c r="DV12" s="2">
        <v>2062.3409999999999</v>
      </c>
      <c r="DW12" s="2">
        <f t="shared" si="28"/>
        <v>5.9690469609720571</v>
      </c>
      <c r="DX12" s="2"/>
      <c r="DY12" s="2">
        <f t="shared" si="29"/>
        <v>2056.3719530390276</v>
      </c>
      <c r="DZ12" s="2"/>
      <c r="EA12" s="2"/>
      <c r="EB12" s="2"/>
      <c r="EC12" s="2">
        <f t="shared" si="30"/>
        <v>252.33979007351357</v>
      </c>
      <c r="ED12" s="2">
        <f t="shared" si="35"/>
        <v>61.864885979965877</v>
      </c>
      <c r="EE12" s="2">
        <f t="shared" si="36"/>
        <v>70.601982243487953</v>
      </c>
      <c r="EF12" s="2"/>
      <c r="EK12">
        <v>1996</v>
      </c>
      <c r="EL12" s="2">
        <f t="shared" si="37"/>
        <v>873.770668</v>
      </c>
      <c r="EM12" s="2">
        <f t="shared" si="38"/>
        <v>655.99987907493971</v>
      </c>
      <c r="EN12" s="2"/>
      <c r="EQ12" s="2">
        <f t="shared" si="39"/>
        <v>25157.805</v>
      </c>
      <c r="ER12" s="2">
        <f t="shared" si="40"/>
        <v>24022.955953039025</v>
      </c>
      <c r="ES12" s="2"/>
      <c r="ET12" s="2"/>
      <c r="EV12" s="2">
        <f t="shared" si="41"/>
        <v>34.731593952652069</v>
      </c>
      <c r="EW12" s="2">
        <f t="shared" si="42"/>
        <v>27.307209002810183</v>
      </c>
      <c r="EX12" s="2"/>
    </row>
    <row r="13" spans="1:156" x14ac:dyDescent="0.45">
      <c r="A13">
        <v>1997</v>
      </c>
      <c r="B13" s="2">
        <v>272.66281500000002</v>
      </c>
      <c r="C13" s="2">
        <v>280.39999999999998</v>
      </c>
      <c r="D13" s="2">
        <f t="shared" si="19"/>
        <v>553.062815</v>
      </c>
      <c r="E13" s="2">
        <f t="shared" si="20"/>
        <v>1.0283763849500343</v>
      </c>
      <c r="F13" s="2">
        <v>494.62709999999998</v>
      </c>
      <c r="G13" s="2">
        <v>21084.440999999999</v>
      </c>
      <c r="H13" s="2">
        <v>8523.1162999999997</v>
      </c>
      <c r="I13" s="2">
        <f t="shared" si="0"/>
        <v>12.931944223705056</v>
      </c>
      <c r="J13" s="2">
        <f t="shared" si="1"/>
        <v>26.230850274854337</v>
      </c>
      <c r="K13" s="2">
        <f>(F13*10^9)/(H13*10^3)/10^3</f>
        <v>58.033597406150619</v>
      </c>
      <c r="L13" s="2"/>
      <c r="M13" s="2"/>
      <c r="N13">
        <v>1997</v>
      </c>
      <c r="O13" s="2">
        <v>179.79646700000001</v>
      </c>
      <c r="P13" s="2">
        <f t="shared" si="2"/>
        <v>184.89844076024815</v>
      </c>
      <c r="Q13" s="2">
        <f t="shared" si="21"/>
        <v>364.69490776024816</v>
      </c>
      <c r="R13" s="2">
        <v>302.70800000000003</v>
      </c>
      <c r="S13" s="2">
        <v>259.85263570965799</v>
      </c>
      <c r="T13" s="2">
        <v>349.63905937550618</v>
      </c>
      <c r="U13" s="2">
        <f>100*(R13-O13)/O13</f>
        <v>68.361483988447901</v>
      </c>
      <c r="V13" s="2">
        <f>100*(R13-Q13)/Q13</f>
        <v>-16.996921657320907</v>
      </c>
      <c r="W13" s="2">
        <v>19337.440999999999</v>
      </c>
      <c r="X13" s="2">
        <v>7008.6980000000003</v>
      </c>
      <c r="Y13" s="2">
        <v>6373.2283000000007</v>
      </c>
      <c r="Z13" s="2">
        <v>7634.8529500000004</v>
      </c>
      <c r="AA13" s="2">
        <f>100*(X13-W13)/W13</f>
        <v>-63.755814432736983</v>
      </c>
      <c r="AB13" s="2">
        <f t="shared" si="3"/>
        <v>9.2978417878560045</v>
      </c>
      <c r="AC13" s="2">
        <f t="shared" si="22"/>
        <v>18.85952271348873</v>
      </c>
      <c r="AD13" s="2">
        <f>(R13*10^9)/(X13*10^3)/10^3</f>
        <v>43.190332926315271</v>
      </c>
      <c r="AE13" s="2">
        <v>37.669069511536527</v>
      </c>
      <c r="AF13" s="2">
        <v>49.843502046820419</v>
      </c>
      <c r="AG13" s="2">
        <f>100*(AD13-AB13)/AB13</f>
        <v>364.51998121463578</v>
      </c>
      <c r="AH13" s="2">
        <f>100*(AD13-AC13)/AC13</f>
        <v>129.01074211928295</v>
      </c>
      <c r="AI13" s="2"/>
      <c r="AJ13" s="2"/>
      <c r="AK13">
        <v>1997</v>
      </c>
      <c r="AL13" s="2">
        <v>92.866348000000002</v>
      </c>
      <c r="AM13" s="2">
        <f t="shared" si="4"/>
        <v>95.501559239751842</v>
      </c>
      <c r="AN13" s="2">
        <f t="shared" si="5"/>
        <v>188.36790723975184</v>
      </c>
      <c r="AO13" s="2">
        <f t="shared" si="23"/>
        <v>59.335890780521829</v>
      </c>
      <c r="AP13" s="2">
        <v>191.91909999999999</v>
      </c>
      <c r="AQ13" s="2">
        <v>151.0722151459137</v>
      </c>
      <c r="AR13" s="2">
        <v>242.82808808426921</v>
      </c>
      <c r="AS13" s="2">
        <f>100*(AP13-AL13)/AL13</f>
        <v>106.66162084892149</v>
      </c>
      <c r="AT13" s="2">
        <f>100*(AP13-AN13)/AN13</f>
        <v>1.8852429866029341</v>
      </c>
      <c r="AU13" s="2">
        <f>100*(AP13-AO13)/AO13</f>
        <v>223.44521583048552</v>
      </c>
      <c r="AV13" s="78">
        <v>1747</v>
      </c>
      <c r="AW13" s="78">
        <f t="shared" si="24"/>
        <v>550.30499999999995</v>
      </c>
      <c r="AX13" s="2">
        <v>1514.4183</v>
      </c>
      <c r="AY13" s="2">
        <v>1219.667144880955</v>
      </c>
      <c r="AZ13" s="2">
        <v>1784.2855782482</v>
      </c>
      <c r="BA13" s="2">
        <f>100*(AX13-AV13)/AV13</f>
        <v>-13.313205495134513</v>
      </c>
      <c r="BB13" s="2">
        <f>100*(AX13-AW13)/AW13</f>
        <v>175.19617303131903</v>
      </c>
      <c r="BC13" s="2">
        <f t="shared" si="6"/>
        <v>53.157611906124785</v>
      </c>
      <c r="BD13" s="2">
        <f t="shared" si="7"/>
        <v>107.82364467072227</v>
      </c>
      <c r="BE13" s="2">
        <f>(AP13*10^9)/(AX13*10^3)/10^3</f>
        <v>126.72793243451957</v>
      </c>
      <c r="BF13" s="2">
        <v>98.887342093116814</v>
      </c>
      <c r="BG13" s="2">
        <v>170.01165194633651</v>
      </c>
      <c r="BH13" s="2">
        <f>100*(BE13-BC13)/BC13</f>
        <v>138.40034924503081</v>
      </c>
      <c r="BI13" s="2">
        <f>100*(BE13-BD13)/BD13</f>
        <v>17.532599479018025</v>
      </c>
      <c r="BJ13" s="2"/>
      <c r="BK13" s="2"/>
      <c r="BL13" s="2">
        <v>112.665933</v>
      </c>
      <c r="BM13" s="2">
        <f t="shared" si="8"/>
        <v>24.731546268292675</v>
      </c>
      <c r="BN13" s="2">
        <f t="shared" si="9"/>
        <v>137.39747926829267</v>
      </c>
      <c r="BO13" s="2">
        <v>276.65300000000002</v>
      </c>
      <c r="BP13" s="2">
        <v>218.2012863014528</v>
      </c>
      <c r="BQ13" s="2">
        <v>361.90864838167249</v>
      </c>
      <c r="BR13" s="2">
        <f>100*(BO13-BL13)/BL13</f>
        <v>145.55159899132954</v>
      </c>
      <c r="BS13" s="2">
        <f>100*(BO13-BN13)/BN13</f>
        <v>101.35231117289024</v>
      </c>
      <c r="BT13" s="2">
        <v>2452.2539999999999</v>
      </c>
      <c r="BU13" s="2">
        <v>1654.1963000000001</v>
      </c>
      <c r="BV13" s="2">
        <v>1399.945228594278</v>
      </c>
      <c r="BW13" s="2">
        <v>1923.8937809113099</v>
      </c>
      <c r="BX13" s="2">
        <f>100*(BU13-BT13)/BT13</f>
        <v>-32.543843337598794</v>
      </c>
      <c r="BY13" s="2">
        <f t="shared" si="10"/>
        <v>45.943826781401924</v>
      </c>
      <c r="BZ13" s="2">
        <f t="shared" si="25"/>
        <v>56.029057050490145</v>
      </c>
      <c r="CA13" s="2">
        <f>(BO13*10^9)/(BU13*10^3)/10^3</f>
        <v>167.24315004210806</v>
      </c>
      <c r="CB13" s="2">
        <v>134.95287309054009</v>
      </c>
      <c r="CC13" s="2">
        <v>218.94548557620161</v>
      </c>
      <c r="CD13" s="2">
        <f>100*(CA13-BY13)/BY13</f>
        <v>264.01658668495622</v>
      </c>
      <c r="CE13" s="2">
        <f>100*(CA13-BZ13)/BZ13</f>
        <v>198.49360108166411</v>
      </c>
      <c r="CF13" s="2"/>
      <c r="CG13" s="2"/>
      <c r="CH13" s="2">
        <f t="shared" si="11"/>
        <v>385.32874800000002</v>
      </c>
      <c r="CI13" s="2">
        <f t="shared" si="12"/>
        <v>305.13154626829265</v>
      </c>
      <c r="CJ13" s="2">
        <f t="shared" si="13"/>
        <v>690.46029426829273</v>
      </c>
      <c r="CK13" s="2">
        <f t="shared" si="14"/>
        <v>561.42827780906259</v>
      </c>
      <c r="CL13" s="2">
        <f>BO13+AP13+R13</f>
        <v>771.28009999999995</v>
      </c>
      <c r="CM13" s="2">
        <v>697.00533003096268</v>
      </c>
      <c r="CN13" s="2">
        <v>877.35217225085285</v>
      </c>
      <c r="CO13" s="2">
        <f>100*(CL13-CH13)/CH13</f>
        <v>100.16157735524054</v>
      </c>
      <c r="CP13" s="2">
        <f>100*(CL13-CJ13)/CJ13</f>
        <v>11.705206860208387</v>
      </c>
      <c r="CQ13" s="2">
        <f>100*(CL13-CK13)/CK13</f>
        <v>37.37820670698499</v>
      </c>
      <c r="CR13" s="2">
        <f t="shared" si="15"/>
        <v>23536.695</v>
      </c>
      <c r="CS13" s="2">
        <f t="shared" si="16"/>
        <v>22340</v>
      </c>
      <c r="CT13" s="2">
        <f>BU13+AX13+X13</f>
        <v>10177.312600000001</v>
      </c>
      <c r="CU13" s="2">
        <v>9396.5722764654438</v>
      </c>
      <c r="CV13" s="2">
        <v>1784.2855782482</v>
      </c>
      <c r="CW13" s="2">
        <f>100*(CT13-CR13)/CR13</f>
        <v>-56.759805911577637</v>
      </c>
      <c r="CX13" s="2">
        <f>100*(CT13-CS13)/CS13</f>
        <v>-54.443542524619517</v>
      </c>
      <c r="CY13" s="2">
        <f t="shared" si="17"/>
        <v>16.37140422646425</v>
      </c>
      <c r="CZ13" s="2">
        <f t="shared" si="18"/>
        <v>29.335482074619769</v>
      </c>
      <c r="DA13" s="2">
        <f>(CL13*10^9)/(CT13*10^3)/10^3</f>
        <v>75.78425958931436</v>
      </c>
      <c r="DB13" s="2">
        <v>68.179544378528405</v>
      </c>
      <c r="DC13" s="2">
        <v>87.616135876994193</v>
      </c>
      <c r="DD13" s="2">
        <f>100*(DA13-CY13)/CY13</f>
        <v>362.90628794571995</v>
      </c>
      <c r="DE13" s="2">
        <f>100*(DA13-CZ13)/CZ13</f>
        <v>158.33650661183702</v>
      </c>
      <c r="DF13" s="2"/>
      <c r="DH13">
        <v>1997</v>
      </c>
      <c r="DI13" s="2">
        <v>550.49630300000001</v>
      </c>
      <c r="DJ13" s="2">
        <f t="shared" si="26"/>
        <v>415.92449657297783</v>
      </c>
      <c r="DK13" s="2"/>
      <c r="DL13" s="2">
        <f t="shared" si="31"/>
        <v>134.57180642702218</v>
      </c>
      <c r="DM13" s="82">
        <v>107.7</v>
      </c>
      <c r="DN13" s="2">
        <f t="shared" si="27"/>
        <v>82.968453731707328</v>
      </c>
      <c r="DO13" s="2">
        <f t="shared" si="32"/>
        <v>62.686365306614555</v>
      </c>
      <c r="DP13" s="2">
        <f t="shared" si="33"/>
        <v>20.282088425092773</v>
      </c>
      <c r="DQ13" s="2">
        <f t="shared" si="34"/>
        <v>154.85389485211496</v>
      </c>
      <c r="DR13" s="2">
        <v>210.860152</v>
      </c>
      <c r="DS13" s="2">
        <f>100*(DR13-DI13)/DI13</f>
        <v>-61.696354571158679</v>
      </c>
      <c r="DT13" s="2">
        <f>100*(DR13-DL13)/DL13</f>
        <v>56.689694222354603</v>
      </c>
      <c r="DU13" s="2">
        <f>100*(DR13-DQ13)/DQ13</f>
        <v>36.167160794612791</v>
      </c>
      <c r="DV13" s="2">
        <v>2009.866</v>
      </c>
      <c r="DW13" s="2">
        <f t="shared" si="28"/>
        <v>5.81716822739841</v>
      </c>
      <c r="DX13" s="2"/>
      <c r="DY13" s="2">
        <f t="shared" si="29"/>
        <v>2004.0488317726015</v>
      </c>
      <c r="DZ13" s="2">
        <v>1282.5575140000001</v>
      </c>
      <c r="EA13" s="2">
        <f>100*(DZ13-DV13)/DV13</f>
        <v>-36.186914251994907</v>
      </c>
      <c r="EB13" s="2">
        <f>100*(DZ13-DY13)/DY13</f>
        <v>-36.001683508601687</v>
      </c>
      <c r="EC13" s="2">
        <f t="shared" si="30"/>
        <v>273.89701751261032</v>
      </c>
      <c r="ED13" s="2">
        <f t="shared" si="35"/>
        <v>67.149963760110609</v>
      </c>
      <c r="EE13" s="2">
        <f t="shared" si="36"/>
        <v>77.270519758316027</v>
      </c>
      <c r="EF13" s="2">
        <f>(DR13*10^9)/(DZ13*10^3)/10^3</f>
        <v>164.40600105516984</v>
      </c>
      <c r="EG13" s="2">
        <f>100*(EF13-EC13)/EC13</f>
        <v>-39.975249621839886</v>
      </c>
      <c r="EH13" s="2">
        <f>100*(EF13-ED13)/ED13</f>
        <v>144.83408753949718</v>
      </c>
      <c r="EI13" s="2">
        <f>100*(EF13-EE13)/EE13</f>
        <v>112.76678553398251</v>
      </c>
      <c r="EK13">
        <v>1997</v>
      </c>
      <c r="EL13" s="2">
        <f t="shared" si="37"/>
        <v>935.82505100000003</v>
      </c>
      <c r="EM13" s="2">
        <f t="shared" si="38"/>
        <v>716.28217266117758</v>
      </c>
      <c r="EN13" s="2">
        <f>DR13+CL13</f>
        <v>982.14025199999992</v>
      </c>
      <c r="EO13" s="2">
        <f>100*(EN13-EL13)/EL13</f>
        <v>4.9491302835405593</v>
      </c>
      <c r="EP13" s="2">
        <f>100*(EN13-EM13)/EM13</f>
        <v>37.1163892507738</v>
      </c>
      <c r="EQ13" s="2">
        <f t="shared" si="39"/>
        <v>25546.561000000002</v>
      </c>
      <c r="ER13" s="2">
        <f t="shared" si="40"/>
        <v>24344.048831772601</v>
      </c>
      <c r="ES13" s="2">
        <f>DZ13+CT13</f>
        <v>11459.870114000001</v>
      </c>
      <c r="ET13" s="2">
        <f>100*(ES13-EQ13)/EQ13</f>
        <v>-55.141241461032664</v>
      </c>
      <c r="EU13" s="2">
        <f>100*(ES13-ER13)/ER13</f>
        <v>-52.925373288591302</v>
      </c>
      <c r="EV13" s="2">
        <f t="shared" si="41"/>
        <v>36.63213420389539</v>
      </c>
      <c r="EW13" s="2">
        <f t="shared" si="42"/>
        <v>29.423296741268565</v>
      </c>
      <c r="EX13" s="2">
        <f>(EN13*10^9)/(ES13*10^3)/10^3</f>
        <v>85.702564010752951</v>
      </c>
      <c r="EY13" s="2">
        <f>100*(EX13-EV13)/EV13</f>
        <v>133.95460262765556</v>
      </c>
      <c r="EZ13" s="2">
        <f>100*(EX13-EW13)/EW13</f>
        <v>191.27451204523979</v>
      </c>
    </row>
    <row r="14" spans="1:156" x14ac:dyDescent="0.45">
      <c r="A14">
        <v>1998</v>
      </c>
      <c r="B14" s="2">
        <v>283.108473</v>
      </c>
      <c r="C14" s="2">
        <v>303.2</v>
      </c>
      <c r="D14" s="2">
        <f t="shared" si="19"/>
        <v>586.30847300000005</v>
      </c>
      <c r="E14" s="2">
        <f t="shared" si="20"/>
        <v>1.0709675934001452</v>
      </c>
      <c r="F14" s="2"/>
      <c r="G14" s="2">
        <v>21284.653999999999</v>
      </c>
      <c r="H14" s="2"/>
      <c r="I14" s="2">
        <f t="shared" si="0"/>
        <v>13.301060613905211</v>
      </c>
      <c r="J14" s="2">
        <f t="shared" si="1"/>
        <v>27.546065489248733</v>
      </c>
      <c r="N14">
        <v>1998</v>
      </c>
      <c r="O14" s="2">
        <v>194.34094200000001</v>
      </c>
      <c r="P14" s="2">
        <f t="shared" si="2"/>
        <v>208.13285095285721</v>
      </c>
      <c r="Q14" s="2">
        <f t="shared" si="21"/>
        <v>402.47379295285725</v>
      </c>
      <c r="R14" s="2"/>
      <c r="S14" s="2"/>
      <c r="T14" s="2"/>
      <c r="U14" s="2"/>
      <c r="V14" s="2"/>
      <c r="W14" s="2">
        <v>19500.653999999999</v>
      </c>
      <c r="X14" s="2"/>
      <c r="Y14" s="2"/>
      <c r="Z14" s="2"/>
      <c r="AA14" s="2"/>
      <c r="AB14" s="2">
        <f t="shared" si="3"/>
        <v>9.9658679139684239</v>
      </c>
      <c r="AC14" s="2">
        <f t="shared" si="22"/>
        <v>20.638989489934914</v>
      </c>
      <c r="AI14" s="2"/>
      <c r="AJ14" s="2"/>
      <c r="AK14">
        <v>1998</v>
      </c>
      <c r="AL14" s="2">
        <v>88.767531000000005</v>
      </c>
      <c r="AM14" s="2">
        <f t="shared" si="4"/>
        <v>95.067149047142792</v>
      </c>
      <c r="AN14" s="2">
        <f t="shared" si="5"/>
        <v>183.8346800471428</v>
      </c>
      <c r="AO14" s="2">
        <f t="shared" si="23"/>
        <v>57.907924214849984</v>
      </c>
      <c r="AP14" s="2"/>
      <c r="AQ14" s="2"/>
      <c r="AR14" s="2"/>
      <c r="AS14" s="2"/>
      <c r="AV14" s="78">
        <v>1784</v>
      </c>
      <c r="AW14" s="78">
        <f t="shared" si="24"/>
        <v>561.96</v>
      </c>
      <c r="AX14" s="2"/>
      <c r="AY14" s="2"/>
      <c r="BC14" s="2">
        <f t="shared" si="6"/>
        <v>49.757584641255605</v>
      </c>
      <c r="BD14" s="2">
        <f t="shared" si="7"/>
        <v>103.04634531790516</v>
      </c>
      <c r="BL14" s="2">
        <v>125.848939</v>
      </c>
      <c r="BM14" s="2">
        <f t="shared" si="8"/>
        <v>27.625376853658537</v>
      </c>
      <c r="BN14" s="2">
        <f t="shared" si="9"/>
        <v>153.47431585365854</v>
      </c>
      <c r="BO14" s="2"/>
      <c r="BP14" s="2"/>
      <c r="BQ14" s="2"/>
      <c r="BR14" s="2"/>
      <c r="BT14" s="2">
        <v>2588.0880000000002</v>
      </c>
      <c r="BU14" s="2"/>
      <c r="BV14" s="2"/>
      <c r="BW14" s="2"/>
      <c r="BY14" s="2">
        <f t="shared" si="10"/>
        <v>48.626220978575695</v>
      </c>
      <c r="BZ14" s="2">
        <f t="shared" si="25"/>
        <v>59.300269486067918</v>
      </c>
      <c r="CA14" s="2"/>
      <c r="CB14" s="2"/>
      <c r="CC14" s="2"/>
      <c r="CD14" s="2"/>
      <c r="CF14" s="2"/>
      <c r="CG14" s="2"/>
      <c r="CH14" s="2">
        <f t="shared" si="11"/>
        <v>408.95741199999998</v>
      </c>
      <c r="CI14" s="2">
        <f t="shared" si="12"/>
        <v>330.82537685365855</v>
      </c>
      <c r="CJ14" s="2">
        <f t="shared" si="13"/>
        <v>739.78278885365853</v>
      </c>
      <c r="CK14" s="2">
        <f t="shared" si="14"/>
        <v>613.85603302136576</v>
      </c>
      <c r="CL14" s="2"/>
      <c r="CM14" s="2"/>
      <c r="CN14" s="2"/>
      <c r="CO14" s="2"/>
      <c r="CR14" s="2">
        <f t="shared" si="15"/>
        <v>23872.741999999998</v>
      </c>
      <c r="CS14" s="2">
        <f t="shared" si="16"/>
        <v>22650.701999999997</v>
      </c>
      <c r="CT14" s="2"/>
      <c r="CU14" s="2"/>
      <c r="CV14" s="2"/>
      <c r="CY14" s="2">
        <f t="shared" si="17"/>
        <v>17.130726415926585</v>
      </c>
      <c r="CZ14" s="2">
        <f t="shared" si="18"/>
        <v>30.988597323828934</v>
      </c>
      <c r="DA14" s="2"/>
      <c r="DC14" s="2"/>
      <c r="DD14" s="2"/>
      <c r="DF14" s="2"/>
      <c r="DH14">
        <v>1998</v>
      </c>
      <c r="DI14" s="2">
        <v>476.41283700000002</v>
      </c>
      <c r="DJ14" s="2">
        <f t="shared" si="26"/>
        <v>359.95113556671635</v>
      </c>
      <c r="DK14" s="2"/>
      <c r="DL14" s="2">
        <f t="shared" si="31"/>
        <v>116.46170143328368</v>
      </c>
      <c r="DM14" s="82">
        <v>119.5</v>
      </c>
      <c r="DN14" s="2">
        <f t="shared" si="27"/>
        <v>91.874623146341463</v>
      </c>
      <c r="DO14" s="2">
        <f t="shared" si="32"/>
        <v>69.415373312641719</v>
      </c>
      <c r="DP14" s="2">
        <f t="shared" si="33"/>
        <v>22.459249833699744</v>
      </c>
      <c r="DQ14" s="2">
        <f t="shared" si="34"/>
        <v>138.92095126698342</v>
      </c>
      <c r="DR14" s="2"/>
      <c r="DS14" s="2"/>
      <c r="DT14" s="2"/>
      <c r="DV14" s="2">
        <v>2021.9290000000001</v>
      </c>
      <c r="DW14" s="2">
        <f t="shared" si="28"/>
        <v>5.8520822467047262</v>
      </c>
      <c r="DX14" s="2"/>
      <c r="DY14" s="2">
        <f t="shared" si="29"/>
        <v>2016.0769177532954</v>
      </c>
      <c r="DZ14" s="2"/>
      <c r="EA14" s="2"/>
      <c r="EB14" s="2"/>
      <c r="EC14" s="2">
        <f t="shared" si="30"/>
        <v>235.62293087442734</v>
      </c>
      <c r="ED14" s="2">
        <f t="shared" si="35"/>
        <v>57.766497105213588</v>
      </c>
      <c r="EE14" s="2">
        <f t="shared" si="36"/>
        <v>68.90657298025917</v>
      </c>
      <c r="EF14" s="2"/>
      <c r="EG14" s="2"/>
      <c r="EH14" s="2"/>
      <c r="EK14">
        <v>1998</v>
      </c>
      <c r="EL14" s="2">
        <f t="shared" si="37"/>
        <v>885.37024900000006</v>
      </c>
      <c r="EM14" s="2">
        <f t="shared" si="38"/>
        <v>752.77698428834924</v>
      </c>
      <c r="EN14" s="2"/>
      <c r="EO14" s="2"/>
      <c r="EQ14" s="2">
        <f t="shared" si="39"/>
        <v>25894.670999999998</v>
      </c>
      <c r="ER14" s="2">
        <f t="shared" si="40"/>
        <v>24666.778917753294</v>
      </c>
      <c r="ES14" s="2"/>
      <c r="ET14" s="2"/>
      <c r="EV14" s="2">
        <f t="shared" si="41"/>
        <v>34.191214439449723</v>
      </c>
      <c r="EW14" s="2">
        <f t="shared" si="42"/>
        <v>30.517846971359397</v>
      </c>
      <c r="EX14" s="2"/>
      <c r="EY14" s="2"/>
    </row>
    <row r="15" spans="1:156" x14ac:dyDescent="0.45">
      <c r="A15">
        <v>1999</v>
      </c>
      <c r="B15" s="2">
        <v>309.18532199999999</v>
      </c>
      <c r="C15" s="2">
        <v>333.8</v>
      </c>
      <c r="D15" s="2">
        <f t="shared" si="19"/>
        <v>642.985322</v>
      </c>
      <c r="E15" s="2">
        <f t="shared" si="20"/>
        <v>1.079611405356429</v>
      </c>
      <c r="F15" s="2"/>
      <c r="G15" s="2">
        <v>21504.951000000001</v>
      </c>
      <c r="H15" s="2"/>
      <c r="I15" s="2">
        <f t="shared" si="0"/>
        <v>14.377401836442223</v>
      </c>
      <c r="J15" s="2">
        <f t="shared" si="1"/>
        <v>29.899408838457713</v>
      </c>
      <c r="N15">
        <v>1999</v>
      </c>
      <c r="O15" s="2">
        <v>201.704061</v>
      </c>
      <c r="P15" s="2">
        <f t="shared" si="2"/>
        <v>217.76200476230886</v>
      </c>
      <c r="Q15" s="2">
        <f t="shared" si="21"/>
        <v>419.46606576230886</v>
      </c>
      <c r="R15" s="2"/>
      <c r="S15" s="2"/>
      <c r="T15" s="2"/>
      <c r="U15" s="2"/>
      <c r="V15" s="2"/>
      <c r="W15" s="2">
        <v>19621.951000000001</v>
      </c>
      <c r="X15" s="2"/>
      <c r="Y15" s="2"/>
      <c r="Z15" s="2"/>
      <c r="AA15" s="2"/>
      <c r="AB15" s="2">
        <f t="shared" si="3"/>
        <v>10.279510992561342</v>
      </c>
      <c r="AC15" s="2">
        <f t="shared" si="22"/>
        <v>21.377388301617348</v>
      </c>
      <c r="AI15" s="2"/>
      <c r="AJ15" s="2"/>
      <c r="AK15">
        <v>1999</v>
      </c>
      <c r="AL15" s="2">
        <v>107.481261</v>
      </c>
      <c r="AM15" s="2">
        <f t="shared" si="4"/>
        <v>116.03799523769115</v>
      </c>
      <c r="AN15" s="2">
        <f t="shared" si="5"/>
        <v>223.51925623769114</v>
      </c>
      <c r="AO15" s="2">
        <f t="shared" si="23"/>
        <v>70.408565714872708</v>
      </c>
      <c r="AP15" s="2"/>
      <c r="AQ15" s="2"/>
      <c r="AR15" s="2"/>
      <c r="AS15" s="2"/>
      <c r="AV15" s="78">
        <v>1883</v>
      </c>
      <c r="AW15" s="78">
        <f t="shared" si="24"/>
        <v>593.14499999999998</v>
      </c>
      <c r="AX15" s="2"/>
      <c r="AY15" s="2"/>
      <c r="BC15" s="2">
        <f t="shared" si="6"/>
        <v>57.079798725438131</v>
      </c>
      <c r="BD15" s="2">
        <f t="shared" si="7"/>
        <v>118.7038004448705</v>
      </c>
      <c r="BL15" s="2">
        <v>138.69934799999999</v>
      </c>
      <c r="BM15" s="2">
        <f t="shared" si="8"/>
        <v>30.446198341463401</v>
      </c>
      <c r="BN15" s="2">
        <f t="shared" si="9"/>
        <v>169.14554634146339</v>
      </c>
      <c r="BO15" s="2"/>
      <c r="BP15" s="2"/>
      <c r="BQ15" s="2"/>
      <c r="BR15" s="2"/>
      <c r="BT15" s="2">
        <v>2725.7750000000001</v>
      </c>
      <c r="BU15" s="2"/>
      <c r="BV15" s="2"/>
      <c r="BW15" s="2"/>
      <c r="BY15" s="2">
        <f t="shared" si="10"/>
        <v>50.884371600737403</v>
      </c>
      <c r="BZ15" s="2">
        <f t="shared" si="25"/>
        <v>62.054111708216332</v>
      </c>
      <c r="CA15" s="2"/>
      <c r="CB15" s="2"/>
      <c r="CC15" s="2"/>
      <c r="CD15" s="2"/>
      <c r="CF15" s="2"/>
      <c r="CG15" s="2"/>
      <c r="CH15" s="2">
        <f t="shared" si="11"/>
        <v>447.88467000000003</v>
      </c>
      <c r="CI15" s="2">
        <f t="shared" si="12"/>
        <v>364.24619834146341</v>
      </c>
      <c r="CJ15" s="2">
        <f t="shared" si="13"/>
        <v>812.13086834146338</v>
      </c>
      <c r="CK15" s="2">
        <f t="shared" si="14"/>
        <v>659.02017781864492</v>
      </c>
      <c r="CL15" s="2"/>
      <c r="CM15" s="2"/>
      <c r="CN15" s="2"/>
      <c r="CO15" s="2"/>
      <c r="CR15" s="2">
        <f t="shared" si="15"/>
        <v>24230.726000000002</v>
      </c>
      <c r="CS15" s="2">
        <f t="shared" si="16"/>
        <v>22940.871000000003</v>
      </c>
      <c r="CT15" s="2"/>
      <c r="CU15" s="2"/>
      <c r="CV15" s="2"/>
      <c r="CY15" s="2">
        <f t="shared" si="17"/>
        <v>18.484162216187826</v>
      </c>
      <c r="CZ15" s="2">
        <f t="shared" si="18"/>
        <v>33.516571824610757</v>
      </c>
      <c r="DA15" s="2"/>
      <c r="DC15" s="2"/>
      <c r="DD15" s="2"/>
      <c r="DF15" s="2"/>
      <c r="DH15">
        <v>1999</v>
      </c>
      <c r="DI15" s="2">
        <v>497.81314600000002</v>
      </c>
      <c r="DJ15" s="2">
        <f t="shared" si="26"/>
        <v>376.12002298489608</v>
      </c>
      <c r="DK15" s="2"/>
      <c r="DL15" s="2">
        <f t="shared" si="31"/>
        <v>121.69312301510394</v>
      </c>
      <c r="DM15" s="82">
        <v>136.1</v>
      </c>
      <c r="DN15" s="2">
        <f t="shared" si="27"/>
        <v>105.65380165853659</v>
      </c>
      <c r="DO15" s="2">
        <f t="shared" si="32"/>
        <v>79.826156917620722</v>
      </c>
      <c r="DP15" s="2">
        <f t="shared" si="33"/>
        <v>25.827644740915872</v>
      </c>
      <c r="DQ15" s="2">
        <f t="shared" si="34"/>
        <v>147.52076775601981</v>
      </c>
      <c r="DR15" s="2"/>
      <c r="DS15" s="2"/>
      <c r="DT15" s="2"/>
      <c r="DV15" s="2">
        <v>1990.7829999999999</v>
      </c>
      <c r="DW15" s="2">
        <f t="shared" si="28"/>
        <v>5.7619361764639478</v>
      </c>
      <c r="DX15" s="2"/>
      <c r="DY15" s="2">
        <f t="shared" si="29"/>
        <v>1985.021063823536</v>
      </c>
      <c r="DZ15" s="2"/>
      <c r="EA15" s="2"/>
      <c r="EB15" s="2"/>
      <c r="EC15" s="2">
        <f t="shared" si="30"/>
        <v>250.05896976214885</v>
      </c>
      <c r="ED15" s="2">
        <f t="shared" si="35"/>
        <v>61.305708656158721</v>
      </c>
      <c r="EE15" s="2">
        <f t="shared" si="36"/>
        <v>74.31697851702701</v>
      </c>
      <c r="EF15" s="2"/>
      <c r="EG15" s="2"/>
      <c r="EH15" s="2"/>
      <c r="EK15">
        <v>1999</v>
      </c>
      <c r="EL15" s="2">
        <f t="shared" si="37"/>
        <v>945.6978160000001</v>
      </c>
      <c r="EM15" s="2">
        <f t="shared" si="38"/>
        <v>806.54094557466476</v>
      </c>
      <c r="EN15" s="2"/>
      <c r="EO15" s="2"/>
      <c r="EQ15" s="2">
        <f t="shared" si="39"/>
        <v>26221.509000000002</v>
      </c>
      <c r="ER15" s="2">
        <f t="shared" si="40"/>
        <v>24925.89206382354</v>
      </c>
      <c r="ES15" s="2"/>
      <c r="ET15" s="2"/>
      <c r="EV15" s="2">
        <f t="shared" si="41"/>
        <v>36.065728177581242</v>
      </c>
      <c r="EW15" s="2">
        <f t="shared" si="42"/>
        <v>32.357555890456837</v>
      </c>
      <c r="EX15" s="2"/>
      <c r="EY15" s="2"/>
    </row>
    <row r="16" spans="1:156" x14ac:dyDescent="0.45">
      <c r="A16">
        <v>2000</v>
      </c>
      <c r="B16" s="2">
        <v>324.85000000000002</v>
      </c>
      <c r="C16" s="2">
        <v>367.1</v>
      </c>
      <c r="D16" s="2">
        <f t="shared" si="19"/>
        <v>691.95</v>
      </c>
      <c r="E16" s="2">
        <f t="shared" si="20"/>
        <v>1.1300600277050947</v>
      </c>
      <c r="F16" s="2">
        <v>753.97770000000003</v>
      </c>
      <c r="G16" s="2">
        <v>21958.514999999999</v>
      </c>
      <c r="H16" s="2">
        <v>9248.3870000000006</v>
      </c>
      <c r="I16" s="2">
        <f t="shared" si="0"/>
        <v>14.793805500963977</v>
      </c>
      <c r="J16" s="2">
        <f t="shared" si="1"/>
        <v>31.511693755247109</v>
      </c>
      <c r="K16" s="2">
        <f>(F16*10^9)/(H16*10^3)/10^3</f>
        <v>81.525318955618957</v>
      </c>
      <c r="L16" s="2"/>
      <c r="M16" s="2"/>
      <c r="N16">
        <v>2000</v>
      </c>
      <c r="O16" s="2">
        <v>205.68057999999999</v>
      </c>
      <c r="P16" s="2">
        <f t="shared" si="2"/>
        <v>232.43140193319994</v>
      </c>
      <c r="Q16" s="2">
        <f t="shared" si="21"/>
        <v>438.1119819331999</v>
      </c>
      <c r="R16" s="2">
        <v>373.77499999999998</v>
      </c>
      <c r="S16" s="2">
        <v>303.18151127893958</v>
      </c>
      <c r="T16" s="2">
        <v>473.15352292322382</v>
      </c>
      <c r="U16" s="2">
        <f>100*(R16-O16)/O16</f>
        <v>81.725955848627024</v>
      </c>
      <c r="V16" s="2">
        <f>100*(R16-Q16)/Q16</f>
        <v>-14.685054183934543</v>
      </c>
      <c r="W16" s="2">
        <v>19966.514999999999</v>
      </c>
      <c r="X16" s="2">
        <v>7489.652</v>
      </c>
      <c r="Y16" s="2">
        <v>7075.3871499999996</v>
      </c>
      <c r="Z16" s="2">
        <v>8033.0188499999986</v>
      </c>
      <c r="AA16" s="2">
        <f>100*(X16-W16)/W16</f>
        <v>-62.488937102944611</v>
      </c>
      <c r="AB16" s="2">
        <f t="shared" si="3"/>
        <v>10.301275911194319</v>
      </c>
      <c r="AC16" s="2">
        <f t="shared" si="22"/>
        <v>21.942336052796389</v>
      </c>
      <c r="AD16" s="2">
        <f>(R16*10^9)/(X16*10^3)/10^3</f>
        <v>49.905522980239937</v>
      </c>
      <c r="AE16" s="2">
        <v>40.866291569518467</v>
      </c>
      <c r="AF16" s="2">
        <v>61.77915554152338</v>
      </c>
      <c r="AG16" s="2">
        <f>100*(AD16-AB16)/AB16</f>
        <v>384.45962820982186</v>
      </c>
      <c r="AH16" s="2">
        <f>100*(AD16-AC16)/AC16</f>
        <v>127.43942513759762</v>
      </c>
      <c r="AI16" s="2"/>
      <c r="AJ16" s="2"/>
      <c r="AK16">
        <v>2000</v>
      </c>
      <c r="AL16" s="2">
        <v>119.168367</v>
      </c>
      <c r="AM16" s="2">
        <f t="shared" si="4"/>
        <v>134.66740811359091</v>
      </c>
      <c r="AN16" s="2">
        <f t="shared" si="5"/>
        <v>253.8357751135909</v>
      </c>
      <c r="AO16" s="2">
        <f t="shared" si="23"/>
        <v>79.958269160781128</v>
      </c>
      <c r="AP16" s="2">
        <v>380.20269999999999</v>
      </c>
      <c r="AQ16" s="2">
        <v>278.06634275757921</v>
      </c>
      <c r="AR16" s="2">
        <v>514.75548875615596</v>
      </c>
      <c r="AS16" s="2">
        <f>100*(AP16-AL16)/AL16</f>
        <v>219.04666445584508</v>
      </c>
      <c r="AT16" s="2">
        <f>100*(AP16-AN16)/AN16</f>
        <v>49.782945225061439</v>
      </c>
      <c r="AU16" s="2">
        <f>100*(AP16-AO16)/AO16</f>
        <v>375.5014134128935</v>
      </c>
      <c r="AV16" s="78">
        <v>1992</v>
      </c>
      <c r="AW16" s="78">
        <f t="shared" si="24"/>
        <v>627.48</v>
      </c>
      <c r="AX16" s="2">
        <v>1758.7349999999999</v>
      </c>
      <c r="AY16" s="2">
        <v>1534.4404792573471</v>
      </c>
      <c r="AZ16" s="2">
        <v>2015.918734545651</v>
      </c>
      <c r="BA16" s="2">
        <f>100*(AX16-AV16)/AV16</f>
        <v>-11.710090361445788</v>
      </c>
      <c r="BB16" s="2">
        <f>100*(AX16-AW16)/AW16</f>
        <v>180.28542742398162</v>
      </c>
      <c r="BC16" s="2">
        <f t="shared" si="6"/>
        <v>59.823477409638549</v>
      </c>
      <c r="BD16" s="2">
        <f t="shared" si="7"/>
        <v>127.42759794858981</v>
      </c>
      <c r="BE16" s="2">
        <f>(AP16*10^9)/(AX16*10^3)/10^3</f>
        <v>216.17964048023151</v>
      </c>
      <c r="BF16" s="2">
        <v>154.70746595524841</v>
      </c>
      <c r="BG16" s="2">
        <v>297.47125052039758</v>
      </c>
      <c r="BH16" s="2">
        <f>100*(BE16-BC16)/BC16</f>
        <v>261.36254500879517</v>
      </c>
      <c r="BI16" s="2">
        <f>100*(BE16-BD16)/BD16</f>
        <v>69.648995947838856</v>
      </c>
      <c r="BJ16" s="2"/>
      <c r="BK16" s="2"/>
      <c r="BL16" s="2">
        <v>140.44535500000001</v>
      </c>
      <c r="BM16" s="2">
        <f t="shared" si="8"/>
        <v>30.829468170731701</v>
      </c>
      <c r="BN16" s="2">
        <f t="shared" si="9"/>
        <v>171.27482317073171</v>
      </c>
      <c r="BO16" s="2">
        <v>346.51</v>
      </c>
      <c r="BP16" s="2">
        <v>289.90891468094412</v>
      </c>
      <c r="BQ16" s="2">
        <v>413.59042216390623</v>
      </c>
      <c r="BR16" s="2">
        <f>100*(BO16-BL16)/BL16</f>
        <v>146.72229280918543</v>
      </c>
      <c r="BS16" s="2">
        <f>100*(BO16-BN16)/BN16</f>
        <v>102.31228010353207</v>
      </c>
      <c r="BT16" s="2">
        <v>2860.4780000000001</v>
      </c>
      <c r="BU16" s="2">
        <v>2153.835</v>
      </c>
      <c r="BV16" s="2">
        <v>1932.3203893307279</v>
      </c>
      <c r="BW16" s="2">
        <v>2443.4202932305971</v>
      </c>
      <c r="BX16" s="2">
        <f>100*(BU16-BT16)/BT16</f>
        <v>-24.703668407867497</v>
      </c>
      <c r="BY16" s="2">
        <f t="shared" si="10"/>
        <v>49.098561499162031</v>
      </c>
      <c r="BZ16" s="2">
        <f t="shared" si="25"/>
        <v>59.876294511173214</v>
      </c>
      <c r="CA16" s="2">
        <f>(BO16*10^9)/(BU16*10^3)/10^3</f>
        <v>160.8804759881792</v>
      </c>
      <c r="CB16" s="2">
        <v>133.12775095289331</v>
      </c>
      <c r="CC16" s="2">
        <v>190.0129727306917</v>
      </c>
      <c r="CD16" s="2">
        <f>100*(CA16-BY16)/BY16</f>
        <v>227.66841038901916</v>
      </c>
      <c r="CE16" s="2">
        <f>100*(CA16-BZ16)/BZ16</f>
        <v>168.68809651899568</v>
      </c>
      <c r="CF16" s="2"/>
      <c r="CG16" s="2"/>
      <c r="CH16" s="2">
        <f t="shared" si="11"/>
        <v>465.29430200000002</v>
      </c>
      <c r="CI16" s="2">
        <f t="shared" si="12"/>
        <v>397.92827821752257</v>
      </c>
      <c r="CJ16" s="2">
        <f t="shared" si="13"/>
        <v>863.22258021752259</v>
      </c>
      <c r="CK16" s="2">
        <f t="shared" si="14"/>
        <v>689.34507426471271</v>
      </c>
      <c r="CL16" s="2">
        <f>BO16+AP16+R16</f>
        <v>1100.4877000000001</v>
      </c>
      <c r="CM16" s="2">
        <v>972.28430567913779</v>
      </c>
      <c r="CN16" s="2">
        <v>1266.4429400950739</v>
      </c>
      <c r="CO16" s="2">
        <f>100*(CL16-CH16)/CH16</f>
        <v>136.51432980582686</v>
      </c>
      <c r="CP16" s="2">
        <f>100*(CL16-CJ16)/CJ16</f>
        <v>27.48597235752213</v>
      </c>
      <c r="CQ16" s="2">
        <f>100*(CL16-CK16)/CK16</f>
        <v>59.642498522794426</v>
      </c>
      <c r="CR16" s="2">
        <f t="shared" si="15"/>
        <v>24818.992999999999</v>
      </c>
      <c r="CS16" s="2">
        <f t="shared" si="16"/>
        <v>23454.472999999998</v>
      </c>
      <c r="CT16" s="2">
        <f>BU16+AX16+X16</f>
        <v>11402.222</v>
      </c>
      <c r="CU16" s="2">
        <v>10897.13526687921</v>
      </c>
      <c r="CV16" s="2">
        <v>2015.918734545651</v>
      </c>
      <c r="CW16" s="2">
        <f>100*(CT16-CR16)/CR16</f>
        <v>-54.058482550037382</v>
      </c>
      <c r="CX16" s="2">
        <f>100*(CT16-CS16)/CS16</f>
        <v>-51.385725017142782</v>
      </c>
      <c r="CY16" s="2">
        <f t="shared" si="17"/>
        <v>18.747509296610062</v>
      </c>
      <c r="CZ16" s="2">
        <f t="shared" si="18"/>
        <v>34.780725399194182</v>
      </c>
      <c r="DA16" s="2">
        <f>(CL16*10^9)/(CT16*10^3)/10^3</f>
        <v>96.515196774804096</v>
      </c>
      <c r="DB16" s="2">
        <v>84.264103428232119</v>
      </c>
      <c r="DC16" s="2">
        <v>110.8717138451282</v>
      </c>
      <c r="DD16" s="2">
        <f>100*(DA16-CY16)/CY16</f>
        <v>414.81610302364834</v>
      </c>
      <c r="DE16" s="2">
        <f>100*(DA16-CZ16)/CZ16</f>
        <v>177.49621569721546</v>
      </c>
      <c r="DF16" s="2"/>
      <c r="DH16">
        <v>2000</v>
      </c>
      <c r="DI16" s="2">
        <v>468.61773599999998</v>
      </c>
      <c r="DJ16" s="2">
        <f t="shared" si="26"/>
        <v>354.06158927641087</v>
      </c>
      <c r="DK16" s="2"/>
      <c r="DL16" s="2">
        <f t="shared" si="31"/>
        <v>114.55614672358911</v>
      </c>
      <c r="DM16" s="82">
        <v>146.80000000000001</v>
      </c>
      <c r="DN16" s="2">
        <f t="shared" si="27"/>
        <v>115.97053182926831</v>
      </c>
      <c r="DO16" s="2">
        <f t="shared" si="32"/>
        <v>87.62090645391477</v>
      </c>
      <c r="DP16" s="2">
        <f t="shared" si="33"/>
        <v>28.34962537535354</v>
      </c>
      <c r="DQ16" s="2">
        <f t="shared" si="34"/>
        <v>142.90577209894263</v>
      </c>
      <c r="DR16" s="2">
        <v>411.61587800000001</v>
      </c>
      <c r="DS16" s="2">
        <f>100*(DR16-DI16)/DI16</f>
        <v>-12.163828558123541</v>
      </c>
      <c r="DT16" s="2">
        <f>100*(DR16-DL16)/DL16</f>
        <v>259.3136551573981</v>
      </c>
      <c r="DU16" s="2">
        <f>100*(DR16-DQ16)/DQ16</f>
        <v>188.03306679244034</v>
      </c>
      <c r="DV16" s="2">
        <v>1970.777</v>
      </c>
      <c r="DW16" s="2">
        <f t="shared" si="28"/>
        <v>5.7040326806302302</v>
      </c>
      <c r="DX16" s="2"/>
      <c r="DY16" s="2">
        <f t="shared" si="29"/>
        <v>1965.0729673193698</v>
      </c>
      <c r="DZ16" s="2">
        <v>1221.5938940000001</v>
      </c>
      <c r="EA16" s="2">
        <f>100*(DZ16-DV16)/DV16</f>
        <v>-38.014605711351408</v>
      </c>
      <c r="EB16" s="2">
        <f>100*(DZ16-DY16)/DY16</f>
        <v>-37.834680222260531</v>
      </c>
      <c r="EC16" s="2">
        <f t="shared" si="30"/>
        <v>237.78323777880502</v>
      </c>
      <c r="ED16" s="2">
        <f t="shared" si="35"/>
        <v>58.296128758953657</v>
      </c>
      <c r="EE16" s="2">
        <f t="shared" si="36"/>
        <v>72.722883310478693</v>
      </c>
      <c r="EF16" s="2">
        <f>(DR16*10^9)/(DZ16*10^3)/10^3</f>
        <v>336.94984889962126</v>
      </c>
      <c r="EG16" s="2">
        <f>100*(EF16-EC16)/EC16</f>
        <v>41.704626468693633</v>
      </c>
      <c r="EH16" s="2">
        <f>100*(EF16-ED16)/ED16</f>
        <v>477.99695463975274</v>
      </c>
      <c r="EI16" s="2">
        <f>100*(EF16-EE16)/EE16</f>
        <v>363.33400652043434</v>
      </c>
      <c r="EK16">
        <v>2000</v>
      </c>
      <c r="EL16" s="2">
        <f t="shared" si="37"/>
        <v>933.91203799999994</v>
      </c>
      <c r="EM16" s="2">
        <f t="shared" si="38"/>
        <v>832.25084636365534</v>
      </c>
      <c r="EN16" s="2">
        <f>DR16+CL16</f>
        <v>1512.1035780000002</v>
      </c>
      <c r="EO16" s="2">
        <f>100*(EN16-EL16)/EL16</f>
        <v>61.910706412802476</v>
      </c>
      <c r="EP16" s="2">
        <f>100*(EN16-EM16)/EM16</f>
        <v>81.688439802352633</v>
      </c>
      <c r="EQ16" s="2">
        <f t="shared" si="39"/>
        <v>26789.769999999997</v>
      </c>
      <c r="ER16" s="2">
        <f t="shared" si="40"/>
        <v>25419.545967319369</v>
      </c>
      <c r="ES16" s="2">
        <f>DZ16+CT16</f>
        <v>12623.815893999999</v>
      </c>
      <c r="ET16" s="2">
        <f>100*(ES16-EQ16)/EQ16</f>
        <v>-52.878222194516788</v>
      </c>
      <c r="EU16" s="2">
        <f>100*(ES16-ER16)/ER16</f>
        <v>-50.338153520799295</v>
      </c>
      <c r="EV16" s="2">
        <f t="shared" si="41"/>
        <v>34.860771033121971</v>
      </c>
      <c r="EW16" s="2">
        <f t="shared" si="42"/>
        <v>32.740586611328084</v>
      </c>
      <c r="EX16" s="2">
        <f>(EN16*10^9)/(ES16*10^3)/10^3</f>
        <v>119.78181484084311</v>
      </c>
      <c r="EY16" s="2">
        <f>100*(EX16-EV16)/EV16</f>
        <v>243.60058969159292</v>
      </c>
      <c r="EZ16" s="2">
        <f>100*(EX16-EW16)/EW16</f>
        <v>265.85115673950446</v>
      </c>
    </row>
    <row r="17" spans="1:156" x14ac:dyDescent="0.45">
      <c r="A17">
        <v>2001</v>
      </c>
      <c r="B17" s="2">
        <v>320.59795000000003</v>
      </c>
      <c r="C17" s="2">
        <v>386.2</v>
      </c>
      <c r="D17" s="2">
        <f t="shared" si="19"/>
        <v>706.79795000000001</v>
      </c>
      <c r="E17" s="2">
        <f t="shared" si="20"/>
        <v>1.2046240470346112</v>
      </c>
      <c r="F17" s="2"/>
      <c r="G17" s="2">
        <v>22407.061000000002</v>
      </c>
      <c r="H17" s="2"/>
      <c r="I17" s="2">
        <f t="shared" si="0"/>
        <v>14.307898300450915</v>
      </c>
      <c r="J17" s="2">
        <f t="shared" si="1"/>
        <v>31.543536655699736</v>
      </c>
      <c r="N17">
        <v>2001</v>
      </c>
      <c r="O17" s="2">
        <v>206.380336</v>
      </c>
      <c r="P17" s="2">
        <f t="shared" si="2"/>
        <v>248.61071558068286</v>
      </c>
      <c r="Q17" s="2">
        <f t="shared" si="21"/>
        <v>454.99105158068289</v>
      </c>
      <c r="R17" s="2"/>
      <c r="S17" s="2"/>
      <c r="T17" s="2"/>
      <c r="U17" s="2"/>
      <c r="V17" s="2"/>
      <c r="W17" s="2">
        <v>20345.061000000002</v>
      </c>
      <c r="X17" s="2"/>
      <c r="Y17" s="2"/>
      <c r="Z17" s="2"/>
      <c r="AA17" s="2"/>
      <c r="AB17" s="2">
        <f t="shared" si="3"/>
        <v>10.144001829240031</v>
      </c>
      <c r="AC17" s="2">
        <f t="shared" si="22"/>
        <v>22.363710365905661</v>
      </c>
      <c r="AI17" s="2"/>
      <c r="AJ17" s="2"/>
      <c r="AK17">
        <v>2001</v>
      </c>
      <c r="AL17" s="2">
        <v>114.217614</v>
      </c>
      <c r="AM17" s="2">
        <f t="shared" si="4"/>
        <v>137.58928441931707</v>
      </c>
      <c r="AN17" s="2">
        <f t="shared" si="5"/>
        <v>251.80689841931706</v>
      </c>
      <c r="AO17" s="2">
        <f t="shared" si="23"/>
        <v>79.319173002084881</v>
      </c>
      <c r="AP17" s="2"/>
      <c r="AQ17" s="2"/>
      <c r="AR17" s="2"/>
      <c r="AS17" s="2"/>
      <c r="AV17" s="78">
        <v>2062</v>
      </c>
      <c r="AW17" s="78">
        <f t="shared" si="24"/>
        <v>649.53</v>
      </c>
      <c r="AX17" s="2"/>
      <c r="AY17" s="2"/>
      <c r="AZ17" s="2"/>
      <c r="BC17" s="2">
        <f t="shared" si="6"/>
        <v>55.391665373423855</v>
      </c>
      <c r="BD17" s="2">
        <f t="shared" si="7"/>
        <v>122.11779748754465</v>
      </c>
      <c r="BL17" s="2">
        <v>143.92514600000001</v>
      </c>
      <c r="BM17" s="2">
        <f t="shared" si="8"/>
        <v>31.593324731707298</v>
      </c>
      <c r="BN17" s="2">
        <f t="shared" si="9"/>
        <v>175.51847073170731</v>
      </c>
      <c r="BO17" s="2"/>
      <c r="BP17" s="2"/>
      <c r="BQ17" s="2"/>
      <c r="BR17" s="2"/>
      <c r="BT17" s="2">
        <v>2986.4859999999999</v>
      </c>
      <c r="BU17" s="2"/>
      <c r="BV17" s="2"/>
      <c r="BW17" s="2"/>
      <c r="BY17" s="2">
        <f t="shared" si="10"/>
        <v>48.192138185144678</v>
      </c>
      <c r="BZ17" s="2">
        <f t="shared" si="25"/>
        <v>58.770900225786193</v>
      </c>
      <c r="CA17" s="2"/>
      <c r="CB17" s="2"/>
      <c r="CC17" s="2"/>
      <c r="CD17" s="2"/>
      <c r="CF17" s="2"/>
      <c r="CG17" s="2"/>
      <c r="CH17" s="2">
        <f t="shared" si="11"/>
        <v>464.52309600000001</v>
      </c>
      <c r="CI17" s="2">
        <f t="shared" si="12"/>
        <v>417.79332473170723</v>
      </c>
      <c r="CJ17" s="2">
        <f t="shared" si="13"/>
        <v>882.31642073170724</v>
      </c>
      <c r="CK17" s="2">
        <f t="shared" si="14"/>
        <v>709.82869531447511</v>
      </c>
      <c r="CL17" s="2"/>
      <c r="CM17" s="2"/>
      <c r="CN17" s="2"/>
      <c r="CO17" s="2"/>
      <c r="CR17" s="2">
        <f t="shared" si="15"/>
        <v>25393.547000000002</v>
      </c>
      <c r="CS17" s="2">
        <f t="shared" si="16"/>
        <v>23981.077000000001</v>
      </c>
      <c r="CT17" s="2"/>
      <c r="CU17" s="2"/>
      <c r="CV17" s="2"/>
      <c r="CY17" s="2">
        <f t="shared" si="17"/>
        <v>18.292958285819619</v>
      </c>
      <c r="CZ17" s="2">
        <f t="shared" si="18"/>
        <v>34.7456942794052</v>
      </c>
      <c r="DA17" s="2"/>
      <c r="DC17" s="2"/>
      <c r="DD17" s="2"/>
      <c r="DF17" s="2"/>
      <c r="DH17">
        <v>2001</v>
      </c>
      <c r="DI17" s="2">
        <v>263.32481200000001</v>
      </c>
      <c r="DJ17" s="2">
        <f t="shared" si="26"/>
        <v>198.95363378357519</v>
      </c>
      <c r="DK17" s="2"/>
      <c r="DL17" s="2">
        <f t="shared" si="31"/>
        <v>64.371178216424823</v>
      </c>
      <c r="DM17" s="82">
        <v>168.2</v>
      </c>
      <c r="DN17" s="2">
        <f t="shared" si="27"/>
        <v>136.60667526829269</v>
      </c>
      <c r="DO17" s="2">
        <f t="shared" si="32"/>
        <v>103.21243272631551</v>
      </c>
      <c r="DP17" s="2">
        <f t="shared" si="33"/>
        <v>33.394242541977178</v>
      </c>
      <c r="DQ17" s="2">
        <f t="shared" si="34"/>
        <v>97.765420758402001</v>
      </c>
      <c r="DR17" s="2"/>
      <c r="DS17" s="2"/>
      <c r="DT17" s="2"/>
      <c r="DV17" s="2">
        <v>1936.0650000000001</v>
      </c>
      <c r="DW17" s="2">
        <f t="shared" si="28"/>
        <v>5.6035655134113931</v>
      </c>
      <c r="DX17" s="2"/>
      <c r="DY17" s="2">
        <f t="shared" si="29"/>
        <v>1930.4614344865886</v>
      </c>
      <c r="DZ17" s="2"/>
      <c r="EA17" s="2"/>
      <c r="EB17" s="2"/>
      <c r="EC17" s="2">
        <f t="shared" si="30"/>
        <v>136.01031576935691</v>
      </c>
      <c r="ED17" s="2">
        <f t="shared" si="35"/>
        <v>33.344969791403528</v>
      </c>
      <c r="EE17" s="2">
        <f t="shared" si="36"/>
        <v>50.643550299363</v>
      </c>
      <c r="EF17" s="2"/>
      <c r="EG17" s="2"/>
      <c r="EH17" s="2"/>
      <c r="EK17">
        <v>2001</v>
      </c>
      <c r="EL17" s="2">
        <f t="shared" si="37"/>
        <v>727.84790799999996</v>
      </c>
      <c r="EM17" s="2">
        <f t="shared" si="38"/>
        <v>807.59411607287711</v>
      </c>
      <c r="EN17" s="2"/>
      <c r="EO17" s="2"/>
      <c r="EQ17" s="2">
        <f t="shared" si="39"/>
        <v>27329.612000000001</v>
      </c>
      <c r="ER17" s="2">
        <f t="shared" si="40"/>
        <v>25911.538434486589</v>
      </c>
      <c r="ES17" s="2"/>
      <c r="ET17" s="2"/>
      <c r="EV17" s="2">
        <f t="shared" si="41"/>
        <v>26.632207877667639</v>
      </c>
      <c r="EW17" s="2">
        <f t="shared" si="42"/>
        <v>31.167354964845362</v>
      </c>
      <c r="EX17" s="2"/>
      <c r="EY17" s="2"/>
    </row>
    <row r="18" spans="1:156" x14ac:dyDescent="0.45">
      <c r="A18">
        <v>2002</v>
      </c>
      <c r="B18" s="2">
        <v>332.90606600000001</v>
      </c>
      <c r="C18" s="2">
        <v>423</v>
      </c>
      <c r="D18" s="2">
        <f t="shared" si="19"/>
        <v>755.90606600000001</v>
      </c>
      <c r="E18" s="2">
        <f t="shared" si="20"/>
        <v>1.2706286944017415</v>
      </c>
      <c r="F18" s="2"/>
      <c r="G18" s="2">
        <v>23101.589</v>
      </c>
      <c r="H18" s="2"/>
      <c r="I18" s="2">
        <f t="shared" si="0"/>
        <v>14.410526739091411</v>
      </c>
      <c r="J18" s="2">
        <f t="shared" si="1"/>
        <v>32.720955515224517</v>
      </c>
      <c r="N18">
        <v>2002</v>
      </c>
      <c r="O18" s="2">
        <v>206.693567</v>
      </c>
      <c r="P18" s="2">
        <f t="shared" si="2"/>
        <v>262.63077717844891</v>
      </c>
      <c r="Q18" s="2">
        <f t="shared" si="21"/>
        <v>469.32434417844888</v>
      </c>
      <c r="R18" s="2"/>
      <c r="S18" s="2"/>
      <c r="T18" s="2"/>
      <c r="U18" s="2"/>
      <c r="V18" s="2"/>
      <c r="W18" s="2">
        <v>20920.589</v>
      </c>
      <c r="X18" s="2"/>
      <c r="Y18" s="2"/>
      <c r="Z18" s="2"/>
      <c r="AA18" s="2"/>
      <c r="AB18" s="2">
        <f t="shared" si="3"/>
        <v>9.8799114594718151</v>
      </c>
      <c r="AC18" s="2">
        <f t="shared" si="22"/>
        <v>22.433610458025292</v>
      </c>
      <c r="AI18" s="2"/>
      <c r="AJ18" s="2"/>
      <c r="AK18">
        <v>2002</v>
      </c>
      <c r="AL18" s="2">
        <v>126.21249899999999</v>
      </c>
      <c r="AM18" s="2">
        <f t="shared" si="4"/>
        <v>160.36922282155109</v>
      </c>
      <c r="AN18" s="2">
        <f t="shared" si="5"/>
        <v>286.58172182155107</v>
      </c>
      <c r="AO18" s="2">
        <f t="shared" si="23"/>
        <v>90.273242373788591</v>
      </c>
      <c r="AP18" s="2"/>
      <c r="AQ18" s="2"/>
      <c r="AR18" s="2"/>
      <c r="AS18" s="2"/>
      <c r="AV18" s="78">
        <v>2181</v>
      </c>
      <c r="AW18" s="78">
        <f t="shared" si="24"/>
        <v>687.01499999999999</v>
      </c>
      <c r="AX18" s="2"/>
      <c r="AY18" s="2"/>
      <c r="AZ18" s="2"/>
      <c r="BC18" s="2">
        <f t="shared" si="6"/>
        <v>57.869096286107293</v>
      </c>
      <c r="BD18" s="2">
        <f t="shared" si="7"/>
        <v>131.39923054633246</v>
      </c>
      <c r="BL18" s="2">
        <v>151.84824699999999</v>
      </c>
      <c r="BM18" s="2">
        <f t="shared" si="8"/>
        <v>33.332542024390222</v>
      </c>
      <c r="BN18" s="2">
        <f t="shared" si="9"/>
        <v>185.18078902439021</v>
      </c>
      <c r="BO18" s="2"/>
      <c r="BP18" s="2"/>
      <c r="BQ18" s="2"/>
      <c r="BR18" s="2"/>
      <c r="BT18" s="2">
        <v>3154.377</v>
      </c>
      <c r="BU18" s="2"/>
      <c r="BV18" s="2"/>
      <c r="BW18" s="2"/>
      <c r="BY18" s="2">
        <f t="shared" si="10"/>
        <v>48.13890254715907</v>
      </c>
      <c r="BZ18" s="2">
        <f t="shared" si="25"/>
        <v>58.705978716047639</v>
      </c>
      <c r="CA18" s="2"/>
      <c r="CB18" s="2"/>
      <c r="CC18" s="2"/>
      <c r="CD18" s="2"/>
      <c r="CF18" s="2"/>
      <c r="CG18" s="2"/>
      <c r="CH18" s="2">
        <f t="shared" si="11"/>
        <v>484.75431300000002</v>
      </c>
      <c r="CI18" s="2">
        <f t="shared" si="12"/>
        <v>456.33254202439025</v>
      </c>
      <c r="CJ18" s="2">
        <f t="shared" si="13"/>
        <v>941.08685502439027</v>
      </c>
      <c r="CK18" s="2">
        <f t="shared" si="14"/>
        <v>744.7783755766277</v>
      </c>
      <c r="CL18" s="2"/>
      <c r="CM18" s="2"/>
      <c r="CN18" s="2"/>
      <c r="CO18" s="2"/>
      <c r="CR18" s="2">
        <f t="shared" si="15"/>
        <v>26255.966</v>
      </c>
      <c r="CS18" s="2">
        <f t="shared" si="16"/>
        <v>24761.981</v>
      </c>
      <c r="CT18" s="2"/>
      <c r="CU18" s="2"/>
      <c r="CV18" s="2"/>
      <c r="CY18" s="2">
        <f t="shared" si="17"/>
        <v>18.462634854112778</v>
      </c>
      <c r="CZ18" s="2">
        <f t="shared" si="18"/>
        <v>35.842781599594936</v>
      </c>
      <c r="DA18" s="2"/>
      <c r="DC18" s="2"/>
      <c r="DD18" s="2"/>
      <c r="DF18" s="2"/>
      <c r="DH18">
        <v>2002</v>
      </c>
      <c r="DI18" s="2">
        <v>241.41410300000001</v>
      </c>
      <c r="DJ18" s="2">
        <f t="shared" si="26"/>
        <v>182.39911641312517</v>
      </c>
      <c r="DK18" s="2"/>
      <c r="DL18" s="2">
        <f t="shared" si="31"/>
        <v>59.014986586874841</v>
      </c>
      <c r="DM18" s="82">
        <v>186.5</v>
      </c>
      <c r="DN18" s="2">
        <f t="shared" si="27"/>
        <v>153.16745797560978</v>
      </c>
      <c r="DO18" s="2">
        <f t="shared" si="32"/>
        <v>115.72484229720293</v>
      </c>
      <c r="DP18" s="2">
        <f t="shared" si="33"/>
        <v>37.442615678406852</v>
      </c>
      <c r="DQ18" s="2">
        <f t="shared" si="34"/>
        <v>96.457602265281693</v>
      </c>
      <c r="DR18" s="2"/>
      <c r="DS18" s="2"/>
      <c r="DT18" s="2"/>
      <c r="DV18" s="2">
        <v>1906.9680000000001</v>
      </c>
      <c r="DW18" s="2">
        <f t="shared" si="28"/>
        <v>5.5193498771885752</v>
      </c>
      <c r="DX18" s="2"/>
      <c r="DY18" s="2">
        <f t="shared" si="29"/>
        <v>1901.4486501228114</v>
      </c>
      <c r="DZ18" s="2"/>
      <c r="EA18" s="2"/>
      <c r="EB18" s="2"/>
      <c r="EC18" s="2">
        <f t="shared" si="30"/>
        <v>126.59578084162922</v>
      </c>
      <c r="ED18" s="2">
        <f t="shared" si="35"/>
        <v>31.036855285607196</v>
      </c>
      <c r="EE18" s="2">
        <f t="shared" si="36"/>
        <v>50.7284812866504</v>
      </c>
      <c r="EF18" s="2"/>
      <c r="EG18" s="2"/>
      <c r="EH18" s="2"/>
      <c r="EK18">
        <v>2002</v>
      </c>
      <c r="EL18" s="2">
        <f t="shared" si="37"/>
        <v>726.16841599999998</v>
      </c>
      <c r="EM18" s="2">
        <f t="shared" si="38"/>
        <v>841.2359778419094</v>
      </c>
      <c r="EN18" s="2"/>
      <c r="EO18" s="2"/>
      <c r="EQ18" s="2">
        <f t="shared" si="39"/>
        <v>28162.934000000001</v>
      </c>
      <c r="ER18" s="2">
        <f t="shared" si="40"/>
        <v>26663.429650122813</v>
      </c>
      <c r="ES18" s="2"/>
      <c r="ET18" s="2"/>
      <c r="EV18" s="2">
        <f t="shared" si="41"/>
        <v>25.784544181369739</v>
      </c>
      <c r="EW18" s="2">
        <f t="shared" si="42"/>
        <v>31.550178985996823</v>
      </c>
      <c r="EX18" s="2"/>
      <c r="EY18" s="2"/>
    </row>
    <row r="19" spans="1:156" x14ac:dyDescent="0.45">
      <c r="A19">
        <v>2003</v>
      </c>
      <c r="B19" s="2">
        <v>372.42252000000002</v>
      </c>
      <c r="C19" s="2">
        <v>439.6</v>
      </c>
      <c r="D19" s="2">
        <f t="shared" si="19"/>
        <v>812.02251999999999</v>
      </c>
      <c r="E19" s="2">
        <f t="shared" si="20"/>
        <v>1.1803797471753319</v>
      </c>
      <c r="F19" s="2">
        <v>801.928</v>
      </c>
      <c r="G19" s="2">
        <v>24023.195</v>
      </c>
      <c r="H19" s="2">
        <v>10049.6579</v>
      </c>
      <c r="I19" s="2">
        <f t="shared" si="0"/>
        <v>15.502622361430276</v>
      </c>
      <c r="J19" s="2">
        <f t="shared" si="1"/>
        <v>33.801603824969995</v>
      </c>
      <c r="K19" s="2">
        <f>(F19*10^9)/(H19*10^3)/10^3</f>
        <v>79.796547104354659</v>
      </c>
      <c r="L19" s="2"/>
      <c r="M19" s="2"/>
      <c r="N19">
        <v>2003</v>
      </c>
      <c r="O19" s="2">
        <v>217.93660800000001</v>
      </c>
      <c r="P19" s="2">
        <f t="shared" si="2"/>
        <v>257.24795825128945</v>
      </c>
      <c r="Q19" s="2">
        <f t="shared" si="21"/>
        <v>475.18456625128943</v>
      </c>
      <c r="R19" s="2">
        <v>276.995</v>
      </c>
      <c r="S19" s="2">
        <v>241.23081968236909</v>
      </c>
      <c r="T19" s="2">
        <v>316.76895096324972</v>
      </c>
      <c r="U19" s="2">
        <f>100*(R19-O19)/O19</f>
        <v>27.098885562172278</v>
      </c>
      <c r="V19" s="2">
        <f>100*(R19-Q19)/Q19</f>
        <v>-41.707913161994796</v>
      </c>
      <c r="W19" s="2">
        <v>21707.195</v>
      </c>
      <c r="X19" s="2">
        <v>7416.6679000000004</v>
      </c>
      <c r="Y19" s="2">
        <v>6816.9512000000004</v>
      </c>
      <c r="Z19" s="2">
        <v>7977.1444999999994</v>
      </c>
      <c r="AA19" s="2">
        <f>100*(X19-W19)/W19</f>
        <v>-65.833135511059808</v>
      </c>
      <c r="AB19" s="2">
        <f t="shared" si="3"/>
        <v>10.039832783554024</v>
      </c>
      <c r="AC19" s="2">
        <f t="shared" si="22"/>
        <v>21.890648066288133</v>
      </c>
      <c r="AD19" s="2">
        <f>(R19*10^9)/(X19*10^3)/10^3</f>
        <v>37.347634238820369</v>
      </c>
      <c r="AE19" s="2">
        <v>32.92328406706465</v>
      </c>
      <c r="AF19" s="2">
        <v>42.523030084473248</v>
      </c>
      <c r="AG19" s="2">
        <f>100*(AD19-AB19)/AB19</f>
        <v>271.99458441178928</v>
      </c>
      <c r="AH19" s="2">
        <f>100*(AD19-AC19)/AC19</f>
        <v>70.609998049058149</v>
      </c>
      <c r="AI19" s="2"/>
      <c r="AJ19" s="2"/>
      <c r="AK19">
        <v>2003</v>
      </c>
      <c r="AL19" s="2">
        <v>154.48591200000001</v>
      </c>
      <c r="AM19" s="2">
        <f t="shared" si="4"/>
        <v>182.35204174871058</v>
      </c>
      <c r="AN19" s="2">
        <f t="shared" si="5"/>
        <v>336.83795374871056</v>
      </c>
      <c r="AO19" s="2">
        <f t="shared" si="23"/>
        <v>106.10395543084383</v>
      </c>
      <c r="AP19" s="2">
        <v>524.93299999999999</v>
      </c>
      <c r="AQ19" s="2">
        <v>363.0922308139389</v>
      </c>
      <c r="AR19" s="2">
        <v>715.62019014567272</v>
      </c>
      <c r="AS19" s="2">
        <f>100*(AP19-AL19)/AL19</f>
        <v>239.79344343062166</v>
      </c>
      <c r="AT19" s="2">
        <f>100*(AP19-AN19)/AN19</f>
        <v>55.841405090476528</v>
      </c>
      <c r="AU19" s="2">
        <f>100*(AP19-AO19)/AO19</f>
        <v>394.73461933484612</v>
      </c>
      <c r="AV19" s="78">
        <v>2316</v>
      </c>
      <c r="AW19" s="78">
        <f t="shared" si="24"/>
        <v>729.54</v>
      </c>
      <c r="AX19" s="2">
        <v>2632.99</v>
      </c>
      <c r="AY19" s="2">
        <v>2240.735993453603</v>
      </c>
      <c r="AZ19" s="2">
        <v>2940.2899710903998</v>
      </c>
      <c r="BA19" s="2">
        <f>100*(AX19-AV19)/AV19</f>
        <v>13.686960276338505</v>
      </c>
      <c r="BB19" s="2">
        <f>100*(AX19-AW19)/AW19</f>
        <v>260.9109850042492</v>
      </c>
      <c r="BC19" s="2">
        <f t="shared" si="6"/>
        <v>66.703761658031084</v>
      </c>
      <c r="BD19" s="2">
        <f t="shared" si="7"/>
        <v>145.43953097958141</v>
      </c>
      <c r="BE19" s="2">
        <f>(AP19*10^9)/(AX19*10^3)/10^3</f>
        <v>199.36763907192963</v>
      </c>
      <c r="BF19" s="2">
        <v>141.73321830911181</v>
      </c>
      <c r="BG19" s="2">
        <v>281.25661789824233</v>
      </c>
      <c r="BH19" s="2">
        <f>100*(BE19-BC19)/BC19</f>
        <v>198.88515147620004</v>
      </c>
      <c r="BI19" s="2">
        <f>100*(BE19-BD19)/BD19</f>
        <v>37.079401816772446</v>
      </c>
      <c r="BJ19" s="2"/>
      <c r="BK19" s="2"/>
      <c r="BL19" s="2">
        <v>172.93795800000001</v>
      </c>
      <c r="BM19" s="2">
        <f t="shared" si="8"/>
        <v>37.961990780487781</v>
      </c>
      <c r="BN19" s="2">
        <f t="shared" si="9"/>
        <v>210.89994878048779</v>
      </c>
      <c r="BO19" s="2">
        <v>528.08969999999999</v>
      </c>
      <c r="BP19" s="2">
        <v>413.40358240488541</v>
      </c>
      <c r="BQ19" s="2">
        <v>689.40352114085431</v>
      </c>
      <c r="BR19" s="2">
        <f>100*(BO19-BL19)/BL19</f>
        <v>205.36367267618598</v>
      </c>
      <c r="BS19" s="2">
        <f>100*(BO19-BN19)/BN19</f>
        <v>150.39821159447254</v>
      </c>
      <c r="BT19" s="2">
        <v>3341.6060000000002</v>
      </c>
      <c r="BU19" s="2">
        <v>2094.2689999999998</v>
      </c>
      <c r="BV19" s="2">
        <v>1833.8587140150009</v>
      </c>
      <c r="BW19" s="2">
        <v>2326.3143495132449</v>
      </c>
      <c r="BX19" s="2">
        <f>100*(BU19-BT19)/BT19</f>
        <v>-37.327470683258298</v>
      </c>
      <c r="BY19" s="2">
        <f t="shared" si="10"/>
        <v>51.752946936293505</v>
      </c>
      <c r="BZ19" s="2">
        <f t="shared" si="25"/>
        <v>63.113349922309148</v>
      </c>
      <c r="CA19" s="2">
        <f>(BO19*10^9)/(BU19*10^3)/10^3</f>
        <v>252.15944083591938</v>
      </c>
      <c r="CB19" s="2">
        <v>196.4728199244384</v>
      </c>
      <c r="CC19" s="2">
        <v>334.73133982958723</v>
      </c>
      <c r="CD19" s="2">
        <f>100*(CA19-BY19)/BY19</f>
        <v>387.23687396259947</v>
      </c>
      <c r="CE19" s="2">
        <f>100*(CA19-BZ19)/BZ19</f>
        <v>299.5342366493316</v>
      </c>
      <c r="CF19" s="2"/>
      <c r="CG19" s="2"/>
      <c r="CH19" s="2">
        <f t="shared" si="11"/>
        <v>545.36047800000006</v>
      </c>
      <c r="CI19" s="2">
        <f t="shared" si="12"/>
        <v>477.5619907804878</v>
      </c>
      <c r="CJ19" s="2">
        <f t="shared" si="13"/>
        <v>1022.9224687804879</v>
      </c>
      <c r="CK19" s="2">
        <f t="shared" si="14"/>
        <v>792.18847046262101</v>
      </c>
      <c r="CL19" s="2">
        <f>BO19+AP19+R19</f>
        <v>1330.0176999999999</v>
      </c>
      <c r="CM19" s="2">
        <v>1117.466144918513</v>
      </c>
      <c r="CN19" s="2">
        <v>1576.3854818203231</v>
      </c>
      <c r="CO19" s="2">
        <f>100*(CL19-CH19)/CH19</f>
        <v>143.87863691141914</v>
      </c>
      <c r="CP19" s="2">
        <f>100*(CL19-CJ19)/CJ19</f>
        <v>30.021359447273277</v>
      </c>
      <c r="CQ19" s="2">
        <f>100*(CL19-CK19)/CK19</f>
        <v>67.89157499645232</v>
      </c>
      <c r="CR19" s="2">
        <f t="shared" si="15"/>
        <v>27364.800999999999</v>
      </c>
      <c r="CS19" s="2">
        <f t="shared" si="16"/>
        <v>25778.341</v>
      </c>
      <c r="CT19" s="2">
        <f>BU19+AX19+X19</f>
        <v>12143.9269</v>
      </c>
      <c r="CU19" s="2">
        <v>11322.17086150063</v>
      </c>
      <c r="CV19" s="2">
        <v>2940.2899710903998</v>
      </c>
      <c r="CW19" s="2">
        <f>100*(CT19-CR19)/CR19</f>
        <v>-55.622089486417238</v>
      </c>
      <c r="CX19" s="2">
        <f>100*(CT19-CS19)/CS19</f>
        <v>-52.890968041737047</v>
      </c>
      <c r="CY19" s="2">
        <f t="shared" si="17"/>
        <v>19.929268917395017</v>
      </c>
      <c r="CZ19" s="2">
        <f t="shared" si="18"/>
        <v>37.380957704771461</v>
      </c>
      <c r="DA19" s="2">
        <f>(CL19*10^9)/(CT19*10^3)/10^3</f>
        <v>109.52122084990479</v>
      </c>
      <c r="DB19" s="2">
        <v>91.992206391808026</v>
      </c>
      <c r="DC19" s="2">
        <v>130.7737811448215</v>
      </c>
      <c r="DD19" s="2">
        <f>100*(DA19-CY19)/CY19</f>
        <v>449.54961621452424</v>
      </c>
      <c r="DE19" s="2">
        <f>100*(DA19-CZ19)/CZ19</f>
        <v>192.9866637309965</v>
      </c>
      <c r="DF19" s="2"/>
      <c r="DH19">
        <v>2003</v>
      </c>
      <c r="DI19" s="2">
        <v>400.92986500000001</v>
      </c>
      <c r="DJ19" s="2">
        <f>DI19*$DK$33</f>
        <v>302.9203853912112</v>
      </c>
      <c r="DK19" s="2"/>
      <c r="DL19" s="2">
        <f t="shared" si="31"/>
        <v>98.009479608788808</v>
      </c>
      <c r="DM19" s="82">
        <v>187.1</v>
      </c>
      <c r="DN19" s="2">
        <f t="shared" si="27"/>
        <v>149.13800921951221</v>
      </c>
      <c r="DO19" s="2">
        <f t="shared" si="32"/>
        <v>112.68041413989613</v>
      </c>
      <c r="DP19" s="2">
        <f t="shared" si="33"/>
        <v>36.457595079616084</v>
      </c>
      <c r="DQ19" s="2">
        <f t="shared" si="34"/>
        <v>134.46707468840489</v>
      </c>
      <c r="DR19" s="2">
        <v>133.55578499999999</v>
      </c>
      <c r="DS19" s="2">
        <f>100*(DR19-DI19)/DI19</f>
        <v>-66.688491764014643</v>
      </c>
      <c r="DT19" s="2">
        <f>100*(DR19-DL19)/DL19</f>
        <v>36.268231943579906</v>
      </c>
      <c r="DU19" s="2">
        <f>100*(DR19-DQ19)/DQ19</f>
        <v>-0.67770470244600856</v>
      </c>
      <c r="DV19" s="2">
        <v>1857.6669999999999</v>
      </c>
      <c r="DW19" s="2">
        <f>DV19*$DX$33</f>
        <v>5.3766576724450896</v>
      </c>
      <c r="DX19" s="2"/>
      <c r="DY19" s="2">
        <f t="shared" si="29"/>
        <v>1852.2903423275548</v>
      </c>
      <c r="DZ19" s="2">
        <v>1234.2045909999999</v>
      </c>
      <c r="EA19" s="2">
        <f>100*(DZ19-DV19)/DV19</f>
        <v>-33.561580681575329</v>
      </c>
      <c r="EB19" s="2">
        <f>100*(DZ19-DY19)/DY19</f>
        <v>-33.368729361881755</v>
      </c>
      <c r="EC19" s="2">
        <f t="shared" si="30"/>
        <v>215.82439963674869</v>
      </c>
      <c r="ED19" s="2">
        <f t="shared" si="35"/>
        <v>52.912590088674683</v>
      </c>
      <c r="EE19" s="2">
        <f t="shared" si="36"/>
        <v>72.595030927730264</v>
      </c>
      <c r="EF19" s="2">
        <f>(DR19*10^9)/(DZ19*10^3)/10^3</f>
        <v>108.21203062596612</v>
      </c>
      <c r="EG19" s="2">
        <f>100*(EF19-EC19)/EC19</f>
        <v>-49.861076501036756</v>
      </c>
      <c r="EH19" s="2">
        <f>100*(EF19-ED19)/ED19</f>
        <v>104.51093103667142</v>
      </c>
      <c r="EI19" s="2">
        <f>100*(EF19-EE19)/EE19</f>
        <v>49.062586299733461</v>
      </c>
      <c r="EK19">
        <v>2003</v>
      </c>
      <c r="EL19" s="2">
        <f t="shared" si="37"/>
        <v>946.29034300000012</v>
      </c>
      <c r="EM19" s="2">
        <f t="shared" si="38"/>
        <v>926.65554515102588</v>
      </c>
      <c r="EN19" s="2">
        <f>DR19+CL19</f>
        <v>1463.5734849999999</v>
      </c>
      <c r="EO19" s="2">
        <f>100*(EN19-EL19)/EL19</f>
        <v>54.664315854695317</v>
      </c>
      <c r="EP19" s="2">
        <f>100*(EN19-EM19)/EM19</f>
        <v>57.941480268319914</v>
      </c>
      <c r="EQ19" s="2">
        <f t="shared" si="39"/>
        <v>29222.468000000001</v>
      </c>
      <c r="ER19" s="2">
        <f t="shared" si="40"/>
        <v>27630.631342327557</v>
      </c>
      <c r="ES19" s="2">
        <f>DZ19+CT19</f>
        <v>13378.131491</v>
      </c>
      <c r="ET19" s="2">
        <f>100*(ES19-EQ19)/EQ19</f>
        <v>-54.219706935772841</v>
      </c>
      <c r="EU19" s="2">
        <f>100*(ES19-ER19)/ER19</f>
        <v>-51.582244628243629</v>
      </c>
      <c r="EV19" s="2">
        <f t="shared" si="41"/>
        <v>32.382286910195269</v>
      </c>
      <c r="EW19" s="2">
        <f t="shared" si="42"/>
        <v>33.537255579516049</v>
      </c>
      <c r="EX19" s="2">
        <f>(EN19*10^9)/(ES19*10^3)/10^3</f>
        <v>109.40044100961363</v>
      </c>
      <c r="EY19" s="2">
        <f>100*(EX19-EV19)/EV19</f>
        <v>237.84037956618155</v>
      </c>
      <c r="EZ19" s="2">
        <f>100*(EX19-EW19)/EW19</f>
        <v>226.20570502624386</v>
      </c>
    </row>
    <row r="20" spans="1:156" x14ac:dyDescent="0.45">
      <c r="A20">
        <v>2004</v>
      </c>
      <c r="B20" s="2">
        <v>440.83050600000001</v>
      </c>
      <c r="C20" s="2">
        <v>465.3</v>
      </c>
      <c r="D20" s="2">
        <f t="shared" si="19"/>
        <v>906.13050599999997</v>
      </c>
      <c r="E20" s="2">
        <f t="shared" si="20"/>
        <v>1.0555077147950374</v>
      </c>
      <c r="F20" s="2"/>
      <c r="G20" s="2">
        <v>25058.940999999999</v>
      </c>
      <c r="H20" s="2"/>
      <c r="I20" s="2">
        <f t="shared" si="0"/>
        <v>17.591745237757653</v>
      </c>
      <c r="J20" s="2">
        <f t="shared" si="1"/>
        <v>36.159968052919716</v>
      </c>
      <c r="N20">
        <v>2004</v>
      </c>
      <c r="O20" s="2">
        <v>234.32798399999999</v>
      </c>
      <c r="P20" s="2">
        <f t="shared" si="2"/>
        <v>247.33499490436807</v>
      </c>
      <c r="Q20" s="2">
        <f t="shared" si="21"/>
        <v>481.66297890436806</v>
      </c>
      <c r="R20" s="2"/>
      <c r="S20" s="2"/>
      <c r="T20" s="2"/>
      <c r="U20" s="2"/>
      <c r="V20" s="2"/>
      <c r="W20" s="2">
        <v>22571.940999999999</v>
      </c>
      <c r="X20" s="2"/>
      <c r="Y20" s="2"/>
      <c r="Z20" s="2"/>
      <c r="AA20" s="2"/>
      <c r="AB20" s="2">
        <f t="shared" si="3"/>
        <v>10.381383860608178</v>
      </c>
      <c r="AC20" s="2">
        <f t="shared" si="22"/>
        <v>21.339014615728797</v>
      </c>
      <c r="AI20" s="2"/>
      <c r="AJ20" s="2"/>
      <c r="AK20">
        <v>2004</v>
      </c>
      <c r="AL20" s="2">
        <v>206.502522</v>
      </c>
      <c r="AM20" s="2">
        <f t="shared" si="4"/>
        <v>217.96500509563194</v>
      </c>
      <c r="AN20" s="2">
        <f t="shared" si="5"/>
        <v>424.46752709563191</v>
      </c>
      <c r="AO20" s="2">
        <f t="shared" si="23"/>
        <v>133.70727103512405</v>
      </c>
      <c r="AP20" s="2"/>
      <c r="AQ20" s="2"/>
      <c r="AR20" s="2"/>
      <c r="AS20" s="2"/>
      <c r="AV20" s="78">
        <v>2487</v>
      </c>
      <c r="AW20" s="78">
        <f t="shared" si="24"/>
        <v>783.40499999999997</v>
      </c>
      <c r="AX20" s="2"/>
      <c r="AY20" s="2"/>
      <c r="AZ20" s="2"/>
      <c r="BC20" s="2">
        <f t="shared" si="6"/>
        <v>83.032779252110984</v>
      </c>
      <c r="BD20" s="2">
        <f t="shared" si="7"/>
        <v>170.67451833358743</v>
      </c>
      <c r="BL20" s="2">
        <v>218.70493999999999</v>
      </c>
      <c r="BM20" s="2">
        <f t="shared" si="8"/>
        <v>48.008401463414629</v>
      </c>
      <c r="BN20" s="2">
        <f t="shared" si="9"/>
        <v>266.71334146341462</v>
      </c>
      <c r="BO20" s="2"/>
      <c r="BP20" s="2"/>
      <c r="BQ20" s="2"/>
      <c r="BR20" s="2"/>
      <c r="BT20" s="2">
        <v>3518.3339999999998</v>
      </c>
      <c r="BU20" s="2"/>
      <c r="BV20" s="2"/>
      <c r="BW20" s="2"/>
      <c r="BY20" s="2">
        <f t="shared" si="10"/>
        <v>62.161505985503368</v>
      </c>
      <c r="BZ20" s="2">
        <f t="shared" si="25"/>
        <v>75.806714616467502</v>
      </c>
      <c r="CA20" s="2"/>
      <c r="CB20" s="2"/>
      <c r="CC20" s="2"/>
      <c r="CD20" s="2"/>
      <c r="CF20" s="2"/>
      <c r="CG20" s="2"/>
      <c r="CH20" s="2">
        <f t="shared" si="11"/>
        <v>659.53544599999998</v>
      </c>
      <c r="CI20" s="2">
        <f t="shared" si="12"/>
        <v>513.30840146341461</v>
      </c>
      <c r="CJ20" s="2">
        <f t="shared" si="13"/>
        <v>1172.8438474634145</v>
      </c>
      <c r="CK20" s="2">
        <f t="shared" si="14"/>
        <v>882.08359140290679</v>
      </c>
      <c r="CL20" s="2"/>
      <c r="CM20" s="2"/>
      <c r="CN20" s="2"/>
      <c r="CO20" s="2"/>
      <c r="CR20" s="2">
        <f t="shared" si="15"/>
        <v>28577.274999999998</v>
      </c>
      <c r="CS20" s="2">
        <f t="shared" si="16"/>
        <v>26873.679999999997</v>
      </c>
      <c r="CT20" s="2"/>
      <c r="CU20" s="2"/>
      <c r="CV20" s="2"/>
      <c r="CY20" s="2">
        <f t="shared" si="17"/>
        <v>23.079018065928263</v>
      </c>
      <c r="CZ20" s="2">
        <f t="shared" si="18"/>
        <v>41.04113661863893</v>
      </c>
      <c r="DA20" s="2"/>
      <c r="DC20" s="2"/>
      <c r="DD20" s="2"/>
      <c r="DF20" s="2"/>
      <c r="DH20">
        <v>2004</v>
      </c>
      <c r="DI20" s="2">
        <v>626.16558799999996</v>
      </c>
      <c r="DJ20" s="2">
        <f>447130*10^6/10^9</f>
        <v>447.13</v>
      </c>
      <c r="DK20" s="67">
        <f>DJ20/DI20</f>
        <v>0.71407628999248041</v>
      </c>
      <c r="DL20" s="2">
        <f t="shared" si="31"/>
        <v>179.03558799999996</v>
      </c>
      <c r="DM20" s="82">
        <v>217.1</v>
      </c>
      <c r="DN20" s="2">
        <f t="shared" si="27"/>
        <v>169.09159853658537</v>
      </c>
      <c r="DO20" s="2">
        <f>DN20*DK20</f>
        <v>120.74430135190281</v>
      </c>
      <c r="DP20" s="2">
        <f t="shared" si="33"/>
        <v>48.34729718468256</v>
      </c>
      <c r="DQ20" s="2">
        <f t="shared" si="34"/>
        <v>227.38288518468252</v>
      </c>
      <c r="DR20" s="2"/>
      <c r="DS20" s="2"/>
      <c r="DT20" s="2"/>
      <c r="DV20" s="2">
        <v>1834.39</v>
      </c>
      <c r="DW20" s="2">
        <f>4751/10^3</f>
        <v>4.7510000000000003</v>
      </c>
      <c r="DX20" s="81">
        <f>DW20/DV20</f>
        <v>2.5899617856617188E-3</v>
      </c>
      <c r="DY20" s="2">
        <f t="shared" si="29"/>
        <v>1829.6390000000001</v>
      </c>
      <c r="DZ20" s="2"/>
      <c r="EA20" s="2"/>
      <c r="EB20" s="2"/>
      <c r="EC20" s="2">
        <f t="shared" si="30"/>
        <v>341.34812553491895</v>
      </c>
      <c r="ED20" s="2">
        <f t="shared" si="35"/>
        <v>97.852957878576021</v>
      </c>
      <c r="EE20" s="2">
        <f t="shared" si="36"/>
        <v>124.27745865970418</v>
      </c>
      <c r="EF20" s="2"/>
      <c r="EG20" s="2"/>
      <c r="EH20" s="2"/>
      <c r="EK20">
        <v>2004</v>
      </c>
      <c r="EL20" s="2">
        <f t="shared" si="37"/>
        <v>1285.7010339999999</v>
      </c>
      <c r="EM20" s="2">
        <f t="shared" si="38"/>
        <v>1109.4664765875893</v>
      </c>
      <c r="EN20" s="2"/>
      <c r="EO20" s="2"/>
      <c r="EQ20" s="2">
        <f t="shared" si="39"/>
        <v>30411.664999999997</v>
      </c>
      <c r="ER20" s="2">
        <f t="shared" si="40"/>
        <v>28703.318999999996</v>
      </c>
      <c r="ES20" s="2"/>
      <c r="ET20" s="2"/>
      <c r="EV20" s="2">
        <f t="shared" si="41"/>
        <v>42.276574926101553</v>
      </c>
      <c r="EW20" s="2">
        <f t="shared" si="42"/>
        <v>38.652898523254038</v>
      </c>
      <c r="EX20" s="2"/>
      <c r="EY20" s="2"/>
    </row>
    <row r="21" spans="1:156" x14ac:dyDescent="0.45">
      <c r="A21">
        <v>2005</v>
      </c>
      <c r="B21" s="2">
        <v>566.72834499999999</v>
      </c>
      <c r="C21" s="2">
        <v>479.4</v>
      </c>
      <c r="D21" s="2">
        <f t="shared" si="19"/>
        <v>1046.1283450000001</v>
      </c>
      <c r="E21" s="2">
        <f t="shared" si="20"/>
        <v>0.84590792789797731</v>
      </c>
      <c r="F21" s="2"/>
      <c r="G21" s="2">
        <v>26180.465</v>
      </c>
      <c r="H21" s="2"/>
      <c r="I21" s="2">
        <f t="shared" si="0"/>
        <v>21.646993091986715</v>
      </c>
      <c r="J21" s="2">
        <f t="shared" si="1"/>
        <v>39.958356163651032</v>
      </c>
      <c r="N21">
        <v>2005</v>
      </c>
      <c r="O21" s="2">
        <v>257.75120800000002</v>
      </c>
      <c r="P21" s="2">
        <f t="shared" si="2"/>
        <v>218.03379027248056</v>
      </c>
      <c r="Q21" s="2">
        <f t="shared" si="21"/>
        <v>475.78499827248061</v>
      </c>
      <c r="R21" s="2"/>
      <c r="S21" s="2"/>
      <c r="T21" s="2"/>
      <c r="U21" s="2"/>
      <c r="V21" s="2"/>
      <c r="W21" s="2">
        <v>23472.465</v>
      </c>
      <c r="X21" s="2"/>
      <c r="Y21" s="2"/>
      <c r="Z21" s="2"/>
      <c r="AA21" s="2"/>
      <c r="AB21" s="2">
        <f t="shared" si="3"/>
        <v>10.981002975188163</v>
      </c>
      <c r="AC21" s="2">
        <f t="shared" si="22"/>
        <v>20.269920448171106</v>
      </c>
      <c r="AI21" s="2"/>
      <c r="AJ21" s="2"/>
      <c r="AK21">
        <v>2005</v>
      </c>
      <c r="AL21" s="2">
        <v>308.97713700000003</v>
      </c>
      <c r="AM21" s="2">
        <f t="shared" si="4"/>
        <v>261.3662097275195</v>
      </c>
      <c r="AN21" s="2">
        <f t="shared" si="5"/>
        <v>570.34334672751947</v>
      </c>
      <c r="AO21" s="2">
        <f t="shared" si="23"/>
        <v>179.65815421916864</v>
      </c>
      <c r="AP21" s="2"/>
      <c r="AQ21" s="2"/>
      <c r="AR21" s="2"/>
      <c r="AS21" s="2"/>
      <c r="AV21" s="78">
        <v>2708</v>
      </c>
      <c r="AW21" s="78">
        <f t="shared" si="24"/>
        <v>853.02</v>
      </c>
      <c r="AX21" s="2"/>
      <c r="AY21" s="2"/>
      <c r="AZ21" s="2"/>
      <c r="BC21" s="2">
        <f t="shared" si="6"/>
        <v>114.09790878877401</v>
      </c>
      <c r="BD21" s="2">
        <f t="shared" si="7"/>
        <v>210.61423438977826</v>
      </c>
      <c r="BL21" s="2">
        <v>284.69617299999999</v>
      </c>
      <c r="BM21" s="2">
        <f t="shared" si="8"/>
        <v>62.494281878048753</v>
      </c>
      <c r="BN21" s="2">
        <f t="shared" si="9"/>
        <v>347.19045487804874</v>
      </c>
      <c r="BO21" s="2"/>
      <c r="BP21" s="2"/>
      <c r="BQ21" s="2"/>
      <c r="BR21" s="2"/>
      <c r="BT21" s="2">
        <v>3684.0859999999998</v>
      </c>
      <c r="BU21" s="2"/>
      <c r="BV21" s="2"/>
      <c r="BW21" s="2"/>
      <c r="BY21" s="2">
        <f t="shared" si="10"/>
        <v>77.27728750088896</v>
      </c>
      <c r="BZ21" s="2">
        <f t="shared" si="25"/>
        <v>94.240594513279206</v>
      </c>
      <c r="CA21" s="2"/>
      <c r="CB21" s="2"/>
      <c r="CC21" s="2"/>
      <c r="CD21" s="2"/>
      <c r="CF21" s="2"/>
      <c r="CG21" s="2"/>
      <c r="CH21" s="2">
        <f t="shared" si="11"/>
        <v>851.42451800000003</v>
      </c>
      <c r="CI21" s="2">
        <f t="shared" si="12"/>
        <v>541.89428187804879</v>
      </c>
      <c r="CJ21" s="2">
        <f t="shared" si="13"/>
        <v>1393.3187998780488</v>
      </c>
      <c r="CK21" s="2">
        <f t="shared" si="14"/>
        <v>1002.633607369698</v>
      </c>
      <c r="CL21" s="2"/>
      <c r="CM21" s="2"/>
      <c r="CN21" s="2"/>
      <c r="CO21" s="2"/>
      <c r="CR21" s="2">
        <f t="shared" si="15"/>
        <v>29864.550999999999</v>
      </c>
      <c r="CS21" s="2">
        <f t="shared" si="16"/>
        <v>28009.571</v>
      </c>
      <c r="CT21" s="2"/>
      <c r="CU21" s="2"/>
      <c r="CV21" s="2"/>
      <c r="CY21" s="2">
        <f t="shared" si="17"/>
        <v>28.509536875340935</v>
      </c>
      <c r="CZ21" s="2">
        <f t="shared" si="18"/>
        <v>46.654603977740997</v>
      </c>
      <c r="DA21" s="2"/>
      <c r="DC21" s="2"/>
      <c r="DD21" s="2"/>
      <c r="DF21" s="2"/>
      <c r="DH21">
        <v>2005</v>
      </c>
      <c r="DI21" s="2">
        <v>1284.4368689999999</v>
      </c>
      <c r="DJ21" s="2">
        <f>993362*10^6/10^9</f>
        <v>993.36199999999997</v>
      </c>
      <c r="DK21" s="67">
        <f t="shared" ref="DK21:DK28" si="43">DJ21/DI21</f>
        <v>0.77338328101199971</v>
      </c>
      <c r="DL21" s="2">
        <f t="shared" si="31"/>
        <v>291.07486899999992</v>
      </c>
      <c r="DM21" s="82">
        <v>264.89999999999998</v>
      </c>
      <c r="DN21" s="2">
        <f t="shared" si="27"/>
        <v>202.40571812195122</v>
      </c>
      <c r="DO21" s="2">
        <f>DN21*DK21</f>
        <v>156.53719837674461</v>
      </c>
      <c r="DP21" s="2">
        <f t="shared" si="33"/>
        <v>45.868519745206612</v>
      </c>
      <c r="DQ21" s="2">
        <f t="shared" si="34"/>
        <v>336.94338874520656</v>
      </c>
      <c r="DR21" s="2"/>
      <c r="DS21" s="2"/>
      <c r="DT21" s="2"/>
      <c r="DV21" s="2">
        <v>1799.53</v>
      </c>
      <c r="DW21" s="2">
        <f>5546/10^3</f>
        <v>5.5460000000000003</v>
      </c>
      <c r="DX21" s="81">
        <f t="shared" ref="DX21:DX28" si="44">DW21/DV21</f>
        <v>3.0819158335787678E-3</v>
      </c>
      <c r="DY21" s="2">
        <f t="shared" si="29"/>
        <v>1793.9839999999999</v>
      </c>
      <c r="DZ21" s="2"/>
      <c r="EA21" s="2"/>
      <c r="EB21" s="2"/>
      <c r="EC21" s="2">
        <f t="shared" si="30"/>
        <v>713.76240962918087</v>
      </c>
      <c r="ED21" s="2">
        <f t="shared" si="35"/>
        <v>162.25053790892224</v>
      </c>
      <c r="EE21" s="2">
        <f t="shared" si="36"/>
        <v>187.81850269857844</v>
      </c>
      <c r="EF21" s="2"/>
      <c r="EG21" s="2"/>
      <c r="EH21" s="2"/>
      <c r="EK21">
        <v>2005</v>
      </c>
      <c r="EL21" s="2">
        <f t="shared" si="37"/>
        <v>2135.8613869999999</v>
      </c>
      <c r="EM21" s="2">
        <f t="shared" si="38"/>
        <v>1339.5769961149044</v>
      </c>
      <c r="EN21" s="2"/>
      <c r="EO21" s="2"/>
      <c r="EQ21" s="2">
        <f t="shared" si="39"/>
        <v>31664.080999999998</v>
      </c>
      <c r="ER21" s="2">
        <f t="shared" si="40"/>
        <v>29803.555</v>
      </c>
      <c r="ES21" s="2"/>
      <c r="ET21" s="2"/>
      <c r="EV21" s="2">
        <f t="shared" si="41"/>
        <v>67.453762103501447</v>
      </c>
      <c r="EW21" s="2">
        <f t="shared" si="42"/>
        <v>44.94688623940683</v>
      </c>
      <c r="EX21" s="2"/>
      <c r="EY21" s="2"/>
    </row>
    <row r="22" spans="1:156" x14ac:dyDescent="0.45">
      <c r="A22">
        <v>2006</v>
      </c>
      <c r="B22" s="2">
        <v>619.75674200000003</v>
      </c>
      <c r="C22" s="2">
        <v>551.9</v>
      </c>
      <c r="D22" s="2">
        <f t="shared" si="19"/>
        <v>1171.6567420000001</v>
      </c>
      <c r="E22" s="2">
        <f t="shared" si="20"/>
        <v>0.89051068362560859</v>
      </c>
      <c r="F22" s="2">
        <v>1436.0392999999999</v>
      </c>
      <c r="G22" s="2">
        <v>26923.225999999999</v>
      </c>
      <c r="H22" s="2">
        <v>10617.745500000001</v>
      </c>
      <c r="I22" s="2">
        <f t="shared" si="0"/>
        <v>23.019408669674281</v>
      </c>
      <c r="J22" s="2">
        <f t="shared" si="1"/>
        <v>43.518438020763192</v>
      </c>
      <c r="K22" s="2">
        <f>(F22*10^9)/(H22*10^3)/10^3</f>
        <v>135.24898482450914</v>
      </c>
      <c r="L22" s="2"/>
      <c r="M22" s="2"/>
      <c r="N22">
        <v>2006</v>
      </c>
      <c r="O22" s="2">
        <v>262.701325</v>
      </c>
      <c r="P22" s="2">
        <f t="shared" si="2"/>
        <v>233.93833651510317</v>
      </c>
      <c r="Q22" s="2">
        <f t="shared" si="21"/>
        <v>496.63966151510317</v>
      </c>
      <c r="R22" s="2">
        <v>354.36630000000002</v>
      </c>
      <c r="S22" s="2">
        <v>297.90319012323693</v>
      </c>
      <c r="T22" s="2">
        <v>414.2408055055725</v>
      </c>
      <c r="U22" s="2">
        <f>100*(R22-O22)/O22</f>
        <v>34.893229031105967</v>
      </c>
      <c r="V22" s="2">
        <f>100*(R22-Q22)/Q22</f>
        <v>-28.64720088626601</v>
      </c>
      <c r="W22" s="2">
        <v>24033.225999999999</v>
      </c>
      <c r="X22" s="2">
        <v>7405.9264999999996</v>
      </c>
      <c r="Y22" s="2">
        <v>6760.4225999999999</v>
      </c>
      <c r="Z22" s="2">
        <v>8107.9672500000006</v>
      </c>
      <c r="AA22" s="2">
        <f>100*(X22-W22)/W22</f>
        <v>-69.18463422263828</v>
      </c>
      <c r="AB22" s="2">
        <f t="shared" si="3"/>
        <v>10.930755821128633</v>
      </c>
      <c r="AC22" s="2">
        <f t="shared" si="22"/>
        <v>20.66471065994649</v>
      </c>
      <c r="AD22" s="2">
        <f>(R22*10^9)/(X22*10^3)/10^3</f>
        <v>47.849016595020224</v>
      </c>
      <c r="AE22" s="2">
        <v>40.274763807032777</v>
      </c>
      <c r="AF22" s="2">
        <v>55.917960796385429</v>
      </c>
      <c r="AG22" s="2">
        <f>100*(AD22-AB22)/AB22</f>
        <v>337.74664239164815</v>
      </c>
      <c r="AH22" s="2">
        <f>100*(AD22-AC22)/AC22</f>
        <v>131.54941476032323</v>
      </c>
      <c r="AI22" s="2"/>
      <c r="AJ22" s="2"/>
      <c r="AK22">
        <v>2006</v>
      </c>
      <c r="AL22" s="2">
        <v>357.05541699999998</v>
      </c>
      <c r="AM22" s="2">
        <f t="shared" si="4"/>
        <v>317.96166348489675</v>
      </c>
      <c r="AN22" s="2">
        <f t="shared" si="5"/>
        <v>675.01708048489672</v>
      </c>
      <c r="AO22" s="2">
        <f t="shared" si="23"/>
        <v>212.63038035274246</v>
      </c>
      <c r="AP22" s="2">
        <v>1081.673</v>
      </c>
      <c r="AQ22" s="2">
        <v>675.83815178203838</v>
      </c>
      <c r="AR22" s="2">
        <v>1675.058828455044</v>
      </c>
      <c r="AS22" s="2">
        <f>100*(AP22-AL22)/AL22</f>
        <v>202.94261016630929</v>
      </c>
      <c r="AT22" s="2">
        <f>100*(AP22-AN22)/AN22</f>
        <v>60.243796975179222</v>
      </c>
      <c r="AU22" s="2">
        <f>100*(AP22-AO22)/AO22</f>
        <v>408.71046658787054</v>
      </c>
      <c r="AV22" s="78">
        <v>2890</v>
      </c>
      <c r="AW22" s="78">
        <f t="shared" si="24"/>
        <v>910.35</v>
      </c>
      <c r="AX22" s="2">
        <v>3211.819</v>
      </c>
      <c r="AY22" s="2">
        <v>2897.3861209457368</v>
      </c>
      <c r="AZ22" s="2">
        <v>3614.3127718577362</v>
      </c>
      <c r="BA22" s="2">
        <f>100*(AX22-AV22)/AV22</f>
        <v>11.135605536332179</v>
      </c>
      <c r="BB22" s="2">
        <f>100*(AX22-AW22)/AW22</f>
        <v>252.81144614708629</v>
      </c>
      <c r="BC22" s="2">
        <f t="shared" si="6"/>
        <v>123.54858719723183</v>
      </c>
      <c r="BD22" s="2">
        <f t="shared" si="7"/>
        <v>233.56992404321687</v>
      </c>
      <c r="BE22" s="2">
        <f>(AP22*10^9)/(AX22*10^3)/10^3</f>
        <v>336.77894053182951</v>
      </c>
      <c r="BF22" s="2">
        <v>211.79717711480629</v>
      </c>
      <c r="BG22" s="2">
        <v>526.78765180438631</v>
      </c>
      <c r="BH22" s="2">
        <f>100*(BE22-BC22)/BC22</f>
        <v>172.58825711555787</v>
      </c>
      <c r="BI22" s="2">
        <f>100*(BE22-BD22)/BD22</f>
        <v>44.187631139322598</v>
      </c>
      <c r="BJ22" s="2"/>
      <c r="BK22" s="2"/>
      <c r="BL22" s="2">
        <v>297.862818</v>
      </c>
      <c r="BM22" s="2">
        <f t="shared" si="8"/>
        <v>65.38452102439021</v>
      </c>
      <c r="BN22" s="2">
        <f t="shared" si="9"/>
        <v>363.24733902439021</v>
      </c>
      <c r="BO22" s="2">
        <v>577.2097</v>
      </c>
      <c r="BP22" s="2">
        <v>488.46370425316309</v>
      </c>
      <c r="BQ22" s="2">
        <v>710.76053178220184</v>
      </c>
      <c r="BR22" s="2">
        <f>100*(BO22-BL22)/BL22</f>
        <v>93.783737049046522</v>
      </c>
      <c r="BS22" s="2">
        <f>100*(BO22-BN22)/BN22</f>
        <v>58.902664380218155</v>
      </c>
      <c r="BT22" s="2">
        <v>3872.7660000000001</v>
      </c>
      <c r="BU22" s="2">
        <v>2127.6284000000001</v>
      </c>
      <c r="BV22" s="2">
        <v>1862.735681122746</v>
      </c>
      <c r="BW22" s="2">
        <v>2453.4679396150382</v>
      </c>
      <c r="BX22" s="2">
        <f>100*(BU22-BT22)/BT22</f>
        <v>-45.061787879773789</v>
      </c>
      <c r="BY22" s="2">
        <f t="shared" si="10"/>
        <v>76.912165103701071</v>
      </c>
      <c r="BZ22" s="2">
        <f t="shared" si="25"/>
        <v>93.795323297196418</v>
      </c>
      <c r="CA22" s="2">
        <f>(BO22*10^9)/(BU22*10^3)/10^3</f>
        <v>271.29253397820787</v>
      </c>
      <c r="CB22" s="2">
        <v>222.65635845926121</v>
      </c>
      <c r="CC22" s="2">
        <v>336.3312619778286</v>
      </c>
      <c r="CD22" s="2">
        <f>100*(CA22-BY22)/BY22</f>
        <v>252.73033025714821</v>
      </c>
      <c r="CE22" s="2">
        <f>100*(CA22-BZ22)/BZ22</f>
        <v>189.2388708108615</v>
      </c>
      <c r="CF22" s="2"/>
      <c r="CG22" s="2"/>
      <c r="CH22" s="2">
        <f t="shared" si="11"/>
        <v>917.61955999999998</v>
      </c>
      <c r="CI22" s="2">
        <f t="shared" si="12"/>
        <v>617.28452102439019</v>
      </c>
      <c r="CJ22" s="2">
        <f t="shared" si="13"/>
        <v>1534.9040810243901</v>
      </c>
      <c r="CK22" s="2">
        <f t="shared" si="14"/>
        <v>1072.5173808922359</v>
      </c>
      <c r="CL22" s="2">
        <f>BO22+AP22+R22</f>
        <v>2013.2490000000003</v>
      </c>
      <c r="CM22" s="2">
        <v>1587.318712176341</v>
      </c>
      <c r="CN22" s="2">
        <v>2672.5833491175508</v>
      </c>
      <c r="CO22" s="2">
        <f>100*(CL22-CH22)/CH22</f>
        <v>119.39909389028283</v>
      </c>
      <c r="CP22" s="2">
        <f>100*(CL22-CJ22)/CJ22</f>
        <v>31.164482842234957</v>
      </c>
      <c r="CQ22" s="2">
        <f>100*(CL22-CK22)/CK22</f>
        <v>87.712482414519201</v>
      </c>
      <c r="CR22" s="2">
        <f t="shared" si="15"/>
        <v>30795.991999999998</v>
      </c>
      <c r="CS22" s="2">
        <f t="shared" si="16"/>
        <v>28816.341999999997</v>
      </c>
      <c r="CT22" s="2">
        <f>BU22+AX22+X22</f>
        <v>12745.373899999999</v>
      </c>
      <c r="CU22" s="2">
        <v>12043.92896054745</v>
      </c>
      <c r="CV22" s="2">
        <v>3614.3127718577362</v>
      </c>
      <c r="CW22" s="2">
        <f>100*(CT22-CR22)/CR22</f>
        <v>-58.613530293162832</v>
      </c>
      <c r="CX22" s="2">
        <f>100*(CT22-CS22)/CS22</f>
        <v>-55.770326781935054</v>
      </c>
      <c r="CY22" s="2">
        <f t="shared" si="17"/>
        <v>29.796720300485855</v>
      </c>
      <c r="CZ22" s="2">
        <f t="shared" si="18"/>
        <v>49.841033892475039</v>
      </c>
      <c r="DA22" s="2">
        <f>(CL22*10^9)/(CT22*10^3)/10^3</f>
        <v>157.95919490443512</v>
      </c>
      <c r="DB22" s="2">
        <v>123.6245712078276</v>
      </c>
      <c r="DC22" s="2">
        <v>210.82650610312021</v>
      </c>
      <c r="DD22" s="2">
        <f>100*(DA22-CY22)/CY22</f>
        <v>430.12275616742795</v>
      </c>
      <c r="DE22" s="2">
        <f>100*(DA22-CZ22)/CZ22</f>
        <v>216.92599965965732</v>
      </c>
      <c r="DF22" s="2"/>
      <c r="DH22">
        <v>2006</v>
      </c>
      <c r="DI22" s="2">
        <v>1127.0712719999999</v>
      </c>
      <c r="DJ22" s="2">
        <f>807590*10^6/10^9</f>
        <v>807.59</v>
      </c>
      <c r="DK22" s="67">
        <f t="shared" si="43"/>
        <v>0.71653853670400369</v>
      </c>
      <c r="DL22" s="2">
        <f t="shared" si="31"/>
        <v>319.48127199999988</v>
      </c>
      <c r="DM22" s="82">
        <v>300</v>
      </c>
      <c r="DN22" s="2">
        <f t="shared" si="27"/>
        <v>234.61547897560979</v>
      </c>
      <c r="DO22" s="2">
        <f>DN22*DK22</f>
        <v>168.11103199329239</v>
      </c>
      <c r="DP22" s="2">
        <f t="shared" si="33"/>
        <v>66.504446982317404</v>
      </c>
      <c r="DQ22" s="2">
        <f t="shared" si="34"/>
        <v>385.98571898231728</v>
      </c>
      <c r="DR22" s="2">
        <v>267.20454999999998</v>
      </c>
      <c r="DS22" s="2">
        <f>100*(DR22-DI22)/DI22</f>
        <v>-76.29213372408627</v>
      </c>
      <c r="DT22" s="2">
        <f>100*(DR22-DL22)/DL22</f>
        <v>-16.363000457817105</v>
      </c>
      <c r="DU22" s="2">
        <f>100*(DR22-DQ22)/DQ22</f>
        <v>-30.77346211033235</v>
      </c>
      <c r="DV22" s="2">
        <v>1719.3440000000001</v>
      </c>
      <c r="DW22" s="2">
        <f>5542/10^3</f>
        <v>5.5419999999999998</v>
      </c>
      <c r="DX22" s="81">
        <f t="shared" si="44"/>
        <v>3.2233223834206531E-3</v>
      </c>
      <c r="DY22" s="2">
        <f t="shared" si="29"/>
        <v>1713.8020000000001</v>
      </c>
      <c r="DZ22" s="2">
        <v>989.042822</v>
      </c>
      <c r="EA22" s="2">
        <f>100*(DZ22-DV22)/DV22</f>
        <v>-42.475570799095472</v>
      </c>
      <c r="EB22" s="2">
        <f>100*(DZ22-DY22)/DY22</f>
        <v>-42.289551418425233</v>
      </c>
      <c r="EC22" s="2">
        <f t="shared" si="30"/>
        <v>655.52400915698081</v>
      </c>
      <c r="ED22" s="2">
        <f t="shared" si="35"/>
        <v>186.41667590538452</v>
      </c>
      <c r="EE22" s="2">
        <f t="shared" si="36"/>
        <v>225.2218861819027</v>
      </c>
      <c r="EF22" s="2">
        <f>(DR22*10^9)/(DZ22*10^3)/10^3</f>
        <v>270.16479373427973</v>
      </c>
      <c r="EG22" s="2">
        <f>100*(EF22-EC22)/EC22</f>
        <v>-58.786438031199197</v>
      </c>
      <c r="EH22" s="2">
        <f>100*(EF22-ED22)/ED22</f>
        <v>44.925228616028662</v>
      </c>
      <c r="EI22" s="2">
        <f>100*(EF22-EE22)/EE22</f>
        <v>19.954946792372759</v>
      </c>
      <c r="EK22">
        <v>2006</v>
      </c>
      <c r="EL22" s="2">
        <f t="shared" si="37"/>
        <v>2044.6908319999998</v>
      </c>
      <c r="EM22" s="2">
        <f t="shared" si="38"/>
        <v>1458.5030998745533</v>
      </c>
      <c r="EN22" s="2">
        <f>DR22+CL22</f>
        <v>2280.4535500000002</v>
      </c>
      <c r="EO22" s="2">
        <f>100*(EN22-EL22)/EL22</f>
        <v>11.530482472471927</v>
      </c>
      <c r="EP22" s="2">
        <f>100*(EN22-EM22)/EM22</f>
        <v>56.355756130798994</v>
      </c>
      <c r="EQ22" s="2">
        <f t="shared" si="39"/>
        <v>32515.335999999999</v>
      </c>
      <c r="ER22" s="2">
        <f t="shared" si="40"/>
        <v>30530.143999999997</v>
      </c>
      <c r="ES22" s="2">
        <f>DZ22+CT22</f>
        <v>13734.416721999998</v>
      </c>
      <c r="ET22" s="2">
        <f>100*(ES22-EQ22)/EQ22</f>
        <v>-57.760188232408247</v>
      </c>
      <c r="EU22" s="2">
        <f>100*(ES22-ER22)/ER22</f>
        <v>-55.013586827497441</v>
      </c>
      <c r="EV22" s="2">
        <f t="shared" si="41"/>
        <v>62.883890604728791</v>
      </c>
      <c r="EW22" s="2">
        <f t="shared" si="42"/>
        <v>47.772558815135412</v>
      </c>
      <c r="EX22" s="2">
        <f>(EN22*10^9)/(ES22*10^3)/10^3</f>
        <v>166.03934452834352</v>
      </c>
      <c r="EY22" s="2">
        <f>100*(EX22-EV22)/EV22</f>
        <v>164.04114461050469</v>
      </c>
      <c r="EZ22" s="2">
        <f>100*(EX22-EW22)/EW22</f>
        <v>247.56217511995305</v>
      </c>
    </row>
    <row r="23" spans="1:156" x14ac:dyDescent="0.45">
      <c r="A23">
        <v>2007</v>
      </c>
      <c r="B23" s="2">
        <v>571.61087699999996</v>
      </c>
      <c r="C23" s="2">
        <v>529.20000000000005</v>
      </c>
      <c r="D23" s="2">
        <f t="shared" si="19"/>
        <v>1100.8108769999999</v>
      </c>
      <c r="E23" s="2">
        <f t="shared" si="20"/>
        <v>0.92580463614935737</v>
      </c>
      <c r="F23" s="2"/>
      <c r="G23" s="2">
        <v>28149.641</v>
      </c>
      <c r="H23" s="2"/>
      <c r="I23" s="2">
        <f t="shared" si="0"/>
        <v>20.306151577563636</v>
      </c>
      <c r="J23" s="2">
        <f t="shared" si="1"/>
        <v>39.105680850423632</v>
      </c>
      <c r="N23">
        <v>2007</v>
      </c>
      <c r="O23" s="2">
        <v>265.86375099999998</v>
      </c>
      <c r="P23" s="2">
        <f t="shared" si="2"/>
        <v>246.13789325985832</v>
      </c>
      <c r="Q23" s="2">
        <f t="shared" si="21"/>
        <v>512.00164425985827</v>
      </c>
      <c r="R23" s="2"/>
      <c r="S23" s="2"/>
      <c r="T23" s="2"/>
      <c r="U23" s="2"/>
      <c r="V23" s="2"/>
      <c r="W23" s="2">
        <v>25100.641</v>
      </c>
      <c r="X23" s="2"/>
      <c r="Y23" s="2"/>
      <c r="Z23" s="2"/>
      <c r="AA23" s="2"/>
      <c r="AB23" s="2">
        <f t="shared" si="3"/>
        <v>10.591910820126065</v>
      </c>
      <c r="AC23" s="2">
        <f t="shared" si="22"/>
        <v>20.397950963079321</v>
      </c>
      <c r="AI23" s="2"/>
      <c r="AJ23" s="2"/>
      <c r="AK23">
        <v>2007</v>
      </c>
      <c r="AL23" s="2">
        <v>305.74712599999998</v>
      </c>
      <c r="AM23" s="2">
        <f t="shared" si="4"/>
        <v>283.0621067401417</v>
      </c>
      <c r="AN23" s="2">
        <f t="shared" si="5"/>
        <v>588.80923274014162</v>
      </c>
      <c r="AO23" s="2">
        <f t="shared" si="23"/>
        <v>185.47490831314462</v>
      </c>
      <c r="AP23" s="2"/>
      <c r="AQ23" s="2"/>
      <c r="AR23" s="2"/>
      <c r="AS23" s="2"/>
      <c r="AV23" s="78">
        <v>3049</v>
      </c>
      <c r="AW23" s="78">
        <f t="shared" si="24"/>
        <v>960.43500000000006</v>
      </c>
      <c r="AX23" s="2"/>
      <c r="AY23" s="2"/>
      <c r="AZ23" s="2"/>
      <c r="BC23" s="2">
        <f t="shared" si="6"/>
        <v>100.27783732371269</v>
      </c>
      <c r="BD23" s="2">
        <f t="shared" si="7"/>
        <v>193.11552402103692</v>
      </c>
      <c r="BL23" s="2">
        <v>289.52615300000002</v>
      </c>
      <c r="BM23" s="2">
        <f t="shared" si="8"/>
        <v>63.554521390243906</v>
      </c>
      <c r="BN23" s="2">
        <f t="shared" si="9"/>
        <v>353.08067439024393</v>
      </c>
      <c r="BO23" s="2"/>
      <c r="BP23" s="2"/>
      <c r="BQ23" s="2"/>
      <c r="BR23" s="2"/>
      <c r="BT23" s="2">
        <v>3989.893</v>
      </c>
      <c r="BU23" s="2"/>
      <c r="BV23" s="2"/>
      <c r="BW23" s="2"/>
      <c r="BY23" s="2">
        <f t="shared" si="10"/>
        <v>72.564891589824597</v>
      </c>
      <c r="BZ23" s="2">
        <f t="shared" si="25"/>
        <v>88.493770231493414</v>
      </c>
      <c r="CA23" s="2"/>
      <c r="CB23" s="2"/>
      <c r="CC23" s="2"/>
      <c r="CD23" s="2"/>
      <c r="CF23" s="2"/>
      <c r="CG23" s="2"/>
      <c r="CH23" s="2">
        <f t="shared" si="11"/>
        <v>861.13702999999998</v>
      </c>
      <c r="CI23" s="2">
        <f t="shared" si="12"/>
        <v>592.75452139024389</v>
      </c>
      <c r="CJ23" s="2">
        <f t="shared" si="13"/>
        <v>1453.8915513902439</v>
      </c>
      <c r="CK23" s="2">
        <f t="shared" si="14"/>
        <v>1050.5572269632469</v>
      </c>
      <c r="CL23" s="2"/>
      <c r="CM23" s="2"/>
      <c r="CN23" s="2"/>
      <c r="CO23" s="2"/>
      <c r="CR23" s="2">
        <f t="shared" si="15"/>
        <v>32139.534</v>
      </c>
      <c r="CS23" s="2">
        <f t="shared" si="16"/>
        <v>30050.969000000001</v>
      </c>
      <c r="CT23" s="2"/>
      <c r="CU23" s="2"/>
      <c r="CV23" s="2"/>
      <c r="CY23" s="2">
        <f t="shared" si="17"/>
        <v>26.793699933546016</v>
      </c>
      <c r="CZ23" s="2">
        <f t="shared" si="18"/>
        <v>45.236858486817013</v>
      </c>
      <c r="DA23" s="2"/>
      <c r="DC23" s="2"/>
      <c r="DD23" s="2"/>
      <c r="DF23" s="2"/>
      <c r="DH23">
        <v>2007</v>
      </c>
      <c r="DI23" s="2">
        <v>967.98792000000003</v>
      </c>
      <c r="DJ23" s="2">
        <f>732238*10^6/10^9</f>
        <v>732.23800000000006</v>
      </c>
      <c r="DK23" s="67">
        <f t="shared" si="43"/>
        <v>0.75645365491751182</v>
      </c>
      <c r="DL23" s="2">
        <f t="shared" si="31"/>
        <v>235.74991999999997</v>
      </c>
      <c r="DM23" s="82">
        <v>287.5</v>
      </c>
      <c r="DN23" s="2">
        <f t="shared" si="27"/>
        <v>223.94547860975609</v>
      </c>
      <c r="DO23" s="2">
        <f>DN23*DK23</f>
        <v>169.40437579660147</v>
      </c>
      <c r="DP23" s="2">
        <f t="shared" si="33"/>
        <v>54.541102813154623</v>
      </c>
      <c r="DQ23" s="2">
        <f t="shared" si="34"/>
        <v>290.2910228131546</v>
      </c>
      <c r="DR23" s="2"/>
      <c r="DS23" s="2"/>
      <c r="DT23" s="2"/>
      <c r="DV23" s="2">
        <v>1846.134</v>
      </c>
      <c r="DW23" s="2">
        <f>5418/10^3</f>
        <v>5.4180000000000001</v>
      </c>
      <c r="DX23" s="81">
        <f t="shared" si="44"/>
        <v>2.9347815489016507E-3</v>
      </c>
      <c r="DY23" s="2">
        <f t="shared" si="29"/>
        <v>1840.7160000000001</v>
      </c>
      <c r="DZ23" s="2"/>
      <c r="EA23" s="2"/>
      <c r="EB23" s="2"/>
      <c r="EC23" s="2">
        <f t="shared" si="30"/>
        <v>524.33242657358574</v>
      </c>
      <c r="ED23" s="2">
        <f t="shared" si="35"/>
        <v>128.07511859515535</v>
      </c>
      <c r="EE23" s="2">
        <f t="shared" si="36"/>
        <v>157.7054922177862</v>
      </c>
      <c r="EF23" s="2"/>
      <c r="EG23" s="2"/>
      <c r="EH23" s="2"/>
      <c r="EK23">
        <v>2007</v>
      </c>
      <c r="EL23" s="2">
        <f t="shared" si="37"/>
        <v>1829.1249499999999</v>
      </c>
      <c r="EM23" s="2">
        <f t="shared" si="38"/>
        <v>1340.8482497764014</v>
      </c>
      <c r="EN23" s="2"/>
      <c r="EO23" s="2"/>
      <c r="EQ23" s="2">
        <f t="shared" si="39"/>
        <v>33985.667999999998</v>
      </c>
      <c r="ER23" s="2">
        <f t="shared" si="40"/>
        <v>31891.685000000001</v>
      </c>
      <c r="ES23" s="2"/>
      <c r="ET23" s="2"/>
      <c r="EV23" s="2">
        <f t="shared" si="41"/>
        <v>53.820479562149551</v>
      </c>
      <c r="EW23" s="2">
        <f t="shared" si="42"/>
        <v>42.043819565394593</v>
      </c>
      <c r="EX23" s="2"/>
      <c r="EY23" s="2"/>
    </row>
    <row r="24" spans="1:156" x14ac:dyDescent="0.45">
      <c r="A24">
        <v>2008</v>
      </c>
      <c r="B24" s="2">
        <v>360.46765099999999</v>
      </c>
      <c r="C24" s="2">
        <v>376.4</v>
      </c>
      <c r="D24" s="2">
        <f t="shared" si="19"/>
        <v>736.86765100000002</v>
      </c>
      <c r="E24" s="2">
        <f t="shared" si="20"/>
        <v>1.0441991090068716</v>
      </c>
      <c r="F24" s="2"/>
      <c r="G24" s="2">
        <v>27664.537</v>
      </c>
      <c r="H24" s="2"/>
      <c r="I24" s="2">
        <f t="shared" si="0"/>
        <v>13.029954233465032</v>
      </c>
      <c r="J24" s="2">
        <f t="shared" si="1"/>
        <v>26.635820834449532</v>
      </c>
      <c r="N24">
        <v>2008</v>
      </c>
      <c r="O24" s="2">
        <v>249.661753</v>
      </c>
      <c r="P24" s="2">
        <f t="shared" si="2"/>
        <v>260.69658003569367</v>
      </c>
      <c r="Q24" s="2">
        <f t="shared" si="21"/>
        <v>510.3583330356937</v>
      </c>
      <c r="R24" s="2"/>
      <c r="S24" s="2"/>
      <c r="T24" s="2"/>
      <c r="U24" s="2"/>
      <c r="V24" s="2"/>
      <c r="W24" s="2">
        <v>24562.537</v>
      </c>
      <c r="X24" s="2"/>
      <c r="Y24" s="2"/>
      <c r="Z24" s="2"/>
      <c r="AA24" s="2"/>
      <c r="AB24" s="2">
        <f t="shared" si="3"/>
        <v>10.164330866962155</v>
      </c>
      <c r="AC24" s="2">
        <f t="shared" si="22"/>
        <v>20.777916101895084</v>
      </c>
      <c r="AI24" s="2"/>
      <c r="AJ24" s="2"/>
      <c r="AK24">
        <v>2008</v>
      </c>
      <c r="AL24" s="2">
        <v>110.805898</v>
      </c>
      <c r="AM24" s="2">
        <f t="shared" si="4"/>
        <v>115.70341996430629</v>
      </c>
      <c r="AN24" s="2">
        <f t="shared" si="5"/>
        <v>226.50931796430629</v>
      </c>
      <c r="AO24" s="2">
        <f t="shared" si="23"/>
        <v>71.350435158756483</v>
      </c>
      <c r="AP24" s="2"/>
      <c r="AQ24" s="2"/>
      <c r="AR24" s="2"/>
      <c r="AS24" s="2"/>
      <c r="AV24" s="78">
        <v>3102</v>
      </c>
      <c r="AW24" s="78">
        <f t="shared" si="24"/>
        <v>977.13</v>
      </c>
      <c r="AX24" s="2"/>
      <c r="AY24" s="2"/>
      <c r="AZ24" s="2"/>
      <c r="BC24" s="2">
        <f t="shared" si="6"/>
        <v>35.720792392005151</v>
      </c>
      <c r="BD24" s="2">
        <f t="shared" si="7"/>
        <v>73.020411980756379</v>
      </c>
      <c r="BL24" s="2">
        <v>242.25538299999999</v>
      </c>
      <c r="BM24" s="2">
        <f t="shared" si="8"/>
        <v>53.178010902438984</v>
      </c>
      <c r="BN24" s="2">
        <f t="shared" si="9"/>
        <v>295.43339390243898</v>
      </c>
      <c r="BO24" s="2"/>
      <c r="BP24" s="2"/>
      <c r="BQ24" s="2"/>
      <c r="BR24" s="2"/>
      <c r="BT24" s="2">
        <v>4049.944</v>
      </c>
      <c r="BU24" s="2"/>
      <c r="BV24" s="2"/>
      <c r="BW24" s="2"/>
      <c r="BY24" s="2">
        <f t="shared" si="10"/>
        <v>59.816971049476237</v>
      </c>
      <c r="BZ24" s="2">
        <f t="shared" si="25"/>
        <v>72.947525670092958</v>
      </c>
      <c r="CA24" s="2"/>
      <c r="CB24" s="2"/>
      <c r="CC24" s="2"/>
      <c r="CD24" s="2"/>
      <c r="CF24" s="2"/>
      <c r="CG24" s="2"/>
      <c r="CH24" s="2">
        <f t="shared" si="11"/>
        <v>602.72303399999998</v>
      </c>
      <c r="CI24" s="2">
        <f t="shared" si="12"/>
        <v>429.57801090243896</v>
      </c>
      <c r="CJ24" s="2">
        <f t="shared" si="13"/>
        <v>1032.3010449024389</v>
      </c>
      <c r="CK24" s="2">
        <f t="shared" si="14"/>
        <v>877.14216209688914</v>
      </c>
      <c r="CL24" s="2"/>
      <c r="CM24" s="2"/>
      <c r="CN24" s="2"/>
      <c r="CO24" s="2"/>
      <c r="CR24" s="2">
        <f t="shared" si="15"/>
        <v>31714.481</v>
      </c>
      <c r="CS24" s="2">
        <f t="shared" si="16"/>
        <v>29589.611000000001</v>
      </c>
      <c r="CT24" s="2"/>
      <c r="CU24" s="2"/>
      <c r="CV24" s="2"/>
      <c r="CY24" s="2">
        <f t="shared" si="17"/>
        <v>19.004663327140683</v>
      </c>
      <c r="CZ24" s="2">
        <f t="shared" si="18"/>
        <v>32.549832516648742</v>
      </c>
      <c r="DA24" s="2"/>
      <c r="DC24" s="2"/>
      <c r="DD24" s="2"/>
      <c r="DF24" s="2"/>
      <c r="DH24">
        <v>2008</v>
      </c>
      <c r="DI24" s="2">
        <v>448.39201500000001</v>
      </c>
      <c r="DJ24" s="2">
        <f>493253*10^6/10^9</f>
        <v>493.25299999999999</v>
      </c>
      <c r="DK24" s="67">
        <f t="shared" si="43"/>
        <v>1.1000485813736001</v>
      </c>
      <c r="DL24" s="2">
        <f t="shared" si="31"/>
        <v>-44.860984999999971</v>
      </c>
      <c r="DM24" s="82">
        <v>286.8</v>
      </c>
      <c r="DN24" s="2">
        <f t="shared" si="27"/>
        <v>233.62198909756103</v>
      </c>
      <c r="DO24" s="2">
        <v>233.62198909756103</v>
      </c>
      <c r="DP24" s="2">
        <f t="shared" si="33"/>
        <v>0</v>
      </c>
      <c r="DQ24" s="2">
        <f t="shared" si="34"/>
        <v>-44.860984999999971</v>
      </c>
      <c r="DR24" s="2"/>
      <c r="DS24" s="2"/>
      <c r="DT24" s="2"/>
      <c r="DV24" s="2">
        <v>1762.4829999999999</v>
      </c>
      <c r="DW24" s="2">
        <f>5185/10^3</f>
        <v>5.1849999999999996</v>
      </c>
      <c r="DX24" s="81">
        <f t="shared" si="44"/>
        <v>2.9418723471375326E-3</v>
      </c>
      <c r="DY24" s="2">
        <f t="shared" si="29"/>
        <v>1757.298</v>
      </c>
      <c r="DZ24" s="2"/>
      <c r="EA24" s="2"/>
      <c r="EB24" s="2"/>
      <c r="EC24" s="2">
        <f t="shared" si="30"/>
        <v>254.40927089793206</v>
      </c>
      <c r="ED24" s="2">
        <f t="shared" si="35"/>
        <v>-25.528387900060189</v>
      </c>
      <c r="EE24" s="2">
        <f t="shared" si="36"/>
        <v>-25.528387900060189</v>
      </c>
      <c r="EF24" s="2"/>
      <c r="EG24" s="2"/>
      <c r="EH24" s="2"/>
      <c r="EK24">
        <v>2008</v>
      </c>
      <c r="EL24" s="2">
        <f t="shared" si="37"/>
        <v>1051.115049</v>
      </c>
      <c r="EM24" s="2">
        <f t="shared" si="38"/>
        <v>832.28117709688922</v>
      </c>
      <c r="EN24" s="2"/>
      <c r="EO24" s="2"/>
      <c r="EQ24" s="2">
        <f t="shared" si="39"/>
        <v>33476.964</v>
      </c>
      <c r="ER24" s="2">
        <f t="shared" si="40"/>
        <v>31346.909</v>
      </c>
      <c r="ES24" s="2"/>
      <c r="ET24" s="2"/>
      <c r="EV24" s="2">
        <f t="shared" si="41"/>
        <v>31.398159313371426</v>
      </c>
      <c r="EW24" s="2">
        <f t="shared" si="42"/>
        <v>26.550661728621769</v>
      </c>
      <c r="EX24" s="2"/>
      <c r="EY24" s="2"/>
    </row>
    <row r="25" spans="1:156" x14ac:dyDescent="0.45">
      <c r="A25">
        <v>2009</v>
      </c>
      <c r="B25" s="2">
        <v>368.53986700000002</v>
      </c>
      <c r="C25" s="2">
        <v>413.7</v>
      </c>
      <c r="D25" s="2">
        <f t="shared" si="19"/>
        <v>782.239867</v>
      </c>
      <c r="E25" s="2">
        <f t="shared" si="20"/>
        <v>1.1225379858293594</v>
      </c>
      <c r="F25" s="2">
        <v>859.85180000000003</v>
      </c>
      <c r="G25" s="2">
        <v>27692.19</v>
      </c>
      <c r="H25" s="2">
        <v>11504.64</v>
      </c>
      <c r="I25" s="2">
        <f t="shared" si="0"/>
        <v>13.308440646983861</v>
      </c>
      <c r="J25" s="2">
        <f t="shared" si="1"/>
        <v>28.2476708053787</v>
      </c>
      <c r="K25" s="2">
        <f>(F25*10^9)/(H25*10^3)/10^3</f>
        <v>74.739565949043168</v>
      </c>
      <c r="L25" s="2"/>
      <c r="M25" s="2"/>
      <c r="N25">
        <v>2009</v>
      </c>
      <c r="O25" s="2">
        <v>230.72655800000001</v>
      </c>
      <c r="P25" s="2">
        <f t="shared" si="2"/>
        <v>258.99932569466085</v>
      </c>
      <c r="Q25" s="2">
        <f t="shared" si="21"/>
        <v>489.72588369466087</v>
      </c>
      <c r="R25" s="2">
        <v>286.44400000000002</v>
      </c>
      <c r="S25" s="2">
        <v>222.70045541119069</v>
      </c>
      <c r="T25" s="2">
        <v>355.5366623360332</v>
      </c>
      <c r="U25" s="2">
        <f>100*(R25-O25)/O25</f>
        <v>24.148690329788565</v>
      </c>
      <c r="V25" s="2">
        <f>100*(R25-Q25)/Q25</f>
        <v>-41.509319899743154</v>
      </c>
      <c r="W25" s="2">
        <v>24584.19</v>
      </c>
      <c r="X25" s="2">
        <v>7813.95</v>
      </c>
      <c r="Y25" s="2">
        <v>7333.3354499999996</v>
      </c>
      <c r="Z25" s="2">
        <v>8295.8577999999998</v>
      </c>
      <c r="AA25" s="2">
        <f>100*(X25-W25)/W25</f>
        <v>-68.215548285300429</v>
      </c>
      <c r="AB25" s="2">
        <f t="shared" si="3"/>
        <v>9.3851600561173676</v>
      </c>
      <c r="AC25" s="2">
        <f t="shared" si="22"/>
        <v>19.920358722197513</v>
      </c>
      <c r="AD25" s="2">
        <f>(R25*10^9)/(X25*10^3)/10^3</f>
        <v>36.658028269953093</v>
      </c>
      <c r="AE25" s="2">
        <v>28.47656735293581</v>
      </c>
      <c r="AF25" s="2">
        <v>44.55216983014045</v>
      </c>
      <c r="AG25" s="2">
        <f>100*(AD25-AB25)/AB25</f>
        <v>290.5956643334913</v>
      </c>
      <c r="AH25" s="2">
        <f>100*(AD25-AC25)/AC25</f>
        <v>84.022932423925567</v>
      </c>
      <c r="AI25" s="2"/>
      <c r="AJ25" s="2"/>
      <c r="AK25">
        <v>2009</v>
      </c>
      <c r="AL25" s="2">
        <v>137.813309</v>
      </c>
      <c r="AM25" s="2">
        <f t="shared" si="4"/>
        <v>154.70067430533913</v>
      </c>
      <c r="AN25" s="2">
        <f t="shared" si="5"/>
        <v>292.51398330533914</v>
      </c>
      <c r="AO25" s="2">
        <f t="shared" si="23"/>
        <v>92.141904741181833</v>
      </c>
      <c r="AP25" s="2">
        <v>573.40779999999995</v>
      </c>
      <c r="AQ25" s="2">
        <v>456.75285379315329</v>
      </c>
      <c r="AR25" s="2">
        <v>688.86658120507354</v>
      </c>
      <c r="AS25" s="2">
        <f>100*(AP25-AL25)/AL25</f>
        <v>316.07577973474241</v>
      </c>
      <c r="AT25" s="2">
        <f>100*(AP25-AN25)/AN25</f>
        <v>96.027483377248103</v>
      </c>
      <c r="AU25" s="2">
        <f>100*(AP25-AO25)/AO25</f>
        <v>522.30947103888275</v>
      </c>
      <c r="AV25" s="78">
        <v>3108</v>
      </c>
      <c r="AW25" s="78">
        <f t="shared" si="24"/>
        <v>979.02</v>
      </c>
      <c r="AX25" s="2">
        <v>3690.69</v>
      </c>
      <c r="AY25" s="2">
        <v>3396.1172227535062</v>
      </c>
      <c r="AZ25" s="2">
        <v>3987.133898551881</v>
      </c>
      <c r="BA25" s="2">
        <f>100*(AX25-AV25)/AV25</f>
        <v>18.748069498069501</v>
      </c>
      <c r="BB25" s="2">
        <f>100*(AX25-AW25)/AW25</f>
        <v>276.97799840656984</v>
      </c>
      <c r="BC25" s="2">
        <f t="shared" si="6"/>
        <v>44.341476512226507</v>
      </c>
      <c r="BD25" s="2">
        <f t="shared" si="7"/>
        <v>94.116468244961098</v>
      </c>
      <c r="BE25" s="2">
        <f>(AP25*10^9)/(AX25*10^3)/10^3</f>
        <v>155.36601556890446</v>
      </c>
      <c r="BF25" s="2">
        <v>124.838066674839</v>
      </c>
      <c r="BG25" s="2">
        <v>187.79551963755659</v>
      </c>
      <c r="BH25" s="2">
        <f>100*(BE25-BC25)/BC25</f>
        <v>250.3853001513483</v>
      </c>
      <c r="BI25" s="2">
        <f>100*(BE25-BD25)/BD25</f>
        <v>65.078459132706143</v>
      </c>
      <c r="BJ25" s="2"/>
      <c r="BK25" s="2"/>
      <c r="BL25" s="2">
        <v>222.588503</v>
      </c>
      <c r="BM25" s="2">
        <f t="shared" si="8"/>
        <v>48.860890902438996</v>
      </c>
      <c r="BN25" s="2">
        <f t="shared" si="9"/>
        <v>271.449393902439</v>
      </c>
      <c r="BO25" s="2">
        <v>481.5335</v>
      </c>
      <c r="BP25" s="2">
        <v>368.50383913443102</v>
      </c>
      <c r="BQ25" s="2">
        <v>627.07702227977177</v>
      </c>
      <c r="BR25" s="2">
        <f>100*(BO25-BL25)/BL25</f>
        <v>116.33350038748408</v>
      </c>
      <c r="BS25" s="2">
        <f>100*(BO25-BN25)/BN25</f>
        <v>77.39347031773697</v>
      </c>
      <c r="BT25" s="2">
        <v>4094.5619999999999</v>
      </c>
      <c r="BU25" s="2">
        <v>1909.3330000000001</v>
      </c>
      <c r="BV25" s="2">
        <v>1691.7755194434001</v>
      </c>
      <c r="BW25" s="2">
        <v>2173.956113433283</v>
      </c>
      <c r="BX25" s="2">
        <f>100*(BU25-BT25)/BT25</f>
        <v>-53.369053881709448</v>
      </c>
      <c r="BY25" s="2">
        <f t="shared" si="10"/>
        <v>54.361981330359633</v>
      </c>
      <c r="BZ25" s="2">
        <f t="shared" si="25"/>
        <v>66.295099183365394</v>
      </c>
      <c r="CA25" s="2">
        <f>(BO25*10^9)/(BU25*10^3)/10^3</f>
        <v>252.1998519901976</v>
      </c>
      <c r="CB25" s="2">
        <v>193.6552890045846</v>
      </c>
      <c r="CC25" s="2">
        <v>326.87684368899858</v>
      </c>
      <c r="CD25" s="2">
        <f>100*(CA25-BY25)/BY25</f>
        <v>363.92689489658301</v>
      </c>
      <c r="CE25" s="2">
        <f>100*(CA25-BZ25)/BZ25</f>
        <v>280.42005381519812</v>
      </c>
      <c r="CF25" s="2"/>
      <c r="CG25" s="2"/>
      <c r="CH25" s="2">
        <f t="shared" si="11"/>
        <v>591.12837000000002</v>
      </c>
      <c r="CI25" s="2">
        <f t="shared" si="12"/>
        <v>462.56089090243898</v>
      </c>
      <c r="CJ25" s="2">
        <f t="shared" si="13"/>
        <v>1053.6892609024389</v>
      </c>
      <c r="CK25" s="2">
        <f t="shared" si="14"/>
        <v>853.31718233828178</v>
      </c>
      <c r="CL25" s="2">
        <f>BO25+AP25+R25</f>
        <v>1341.3852999999999</v>
      </c>
      <c r="CM25" s="2">
        <v>1178.2500263063671</v>
      </c>
      <c r="CN25" s="2">
        <v>1509.6301873565651</v>
      </c>
      <c r="CO25" s="2">
        <f>100*(CL25-CH25)/CH25</f>
        <v>126.91945913541585</v>
      </c>
      <c r="CP25" s="2">
        <f>100*(CL25-CJ25)/CJ25</f>
        <v>27.303689026038079</v>
      </c>
      <c r="CQ25" s="2">
        <f>100*(CL25-CK25)/CK25</f>
        <v>57.196565094857377</v>
      </c>
      <c r="CR25" s="2">
        <f t="shared" si="15"/>
        <v>31786.752</v>
      </c>
      <c r="CS25" s="2">
        <f t="shared" si="16"/>
        <v>29657.771999999997</v>
      </c>
      <c r="CT25" s="2">
        <f>BU25+AX25+X25</f>
        <v>13413.973</v>
      </c>
      <c r="CU25" s="2">
        <v>12733.861014421689</v>
      </c>
      <c r="CV25" s="2">
        <v>3987.133898551881</v>
      </c>
      <c r="CW25" s="2">
        <f>100*(CT25-CR25)/CR25</f>
        <v>-57.800114336941384</v>
      </c>
      <c r="CX25" s="2">
        <f>100*(CT25-CS25)/CS25</f>
        <v>-54.770800045263002</v>
      </c>
      <c r="CY25" s="2">
        <f t="shared" si="17"/>
        <v>18.596689904020394</v>
      </c>
      <c r="CZ25" s="2">
        <f t="shared" si="18"/>
        <v>33.14869228861253</v>
      </c>
      <c r="DA25" s="2">
        <f>(CL25*10^9)/(CT25*10^3)/10^3</f>
        <v>99.999105410455201</v>
      </c>
      <c r="DB25" s="2">
        <v>88.233426291917112</v>
      </c>
      <c r="DC25" s="2">
        <v>113.0471635120785</v>
      </c>
      <c r="DD25" s="2">
        <f>100*(DA25-CY25)/CY25</f>
        <v>437.72529373002305</v>
      </c>
      <c r="DE25" s="2">
        <f>100*(DA25-CZ25)/CZ25</f>
        <v>201.66832688240797</v>
      </c>
      <c r="DF25" s="2"/>
      <c r="DH25">
        <v>2009</v>
      </c>
      <c r="DI25" s="2">
        <v>386.75088</v>
      </c>
      <c r="DJ25" s="2">
        <f>388580*10^6/10^9</f>
        <v>388.58</v>
      </c>
      <c r="DK25" s="67">
        <f t="shared" si="43"/>
        <v>1.0047294527164359</v>
      </c>
      <c r="DL25" s="2">
        <f t="shared" si="31"/>
        <v>-1.829119999999989</v>
      </c>
      <c r="DM25" s="82">
        <v>313.5</v>
      </c>
      <c r="DN25" s="2">
        <f t="shared" si="27"/>
        <v>264.639109097561</v>
      </c>
      <c r="DO25" s="2">
        <v>264.639109097561</v>
      </c>
      <c r="DP25" s="2">
        <f t="shared" si="33"/>
        <v>0</v>
      </c>
      <c r="DQ25" s="2">
        <f t="shared" si="34"/>
        <v>-1.829119999999989</v>
      </c>
      <c r="DR25" s="2">
        <v>149.869708</v>
      </c>
      <c r="DS25" s="2">
        <f>100*(DR25-DI25)/DI25</f>
        <v>-61.249032452104572</v>
      </c>
      <c r="DT25" s="3"/>
      <c r="DU25" s="3"/>
      <c r="DV25" s="2">
        <v>1694.8689999999999</v>
      </c>
      <c r="DW25" s="2">
        <f>4881/10^3</f>
        <v>4.8810000000000002</v>
      </c>
      <c r="DX25" s="81">
        <f t="shared" si="44"/>
        <v>2.8798685916138654E-3</v>
      </c>
      <c r="DY25" s="2">
        <f t="shared" si="29"/>
        <v>1689.9879999999998</v>
      </c>
      <c r="DZ25" s="2">
        <v>750.78751599999998</v>
      </c>
      <c r="EA25" s="2">
        <f>100*(DZ25-DV25)/DV25</f>
        <v>-55.702327672522181</v>
      </c>
      <c r="EB25" s="2">
        <f>100*(DZ25-DY25)/DY25</f>
        <v>-55.574387747131929</v>
      </c>
      <c r="EC25" s="2">
        <f t="shared" si="30"/>
        <v>228.18924648453657</v>
      </c>
      <c r="ED25" s="2">
        <f t="shared" si="35"/>
        <v>-1.0823272117908467</v>
      </c>
      <c r="EE25" s="2">
        <f t="shared" si="36"/>
        <v>-1.0823272117908467</v>
      </c>
      <c r="EF25" s="2">
        <f>(DR25*10^9)/(DZ25*10^3)/10^3</f>
        <v>199.61667556550049</v>
      </c>
      <c r="EG25" s="2">
        <f>100*(EF25-EC25)/EC25</f>
        <v>-12.521436202284985</v>
      </c>
      <c r="EH25" s="3"/>
      <c r="EI25" s="3"/>
      <c r="EK25">
        <v>2009</v>
      </c>
      <c r="EL25" s="2">
        <f t="shared" si="37"/>
        <v>977.87924999999996</v>
      </c>
      <c r="EM25" s="2">
        <f t="shared" si="38"/>
        <v>851.48806233828179</v>
      </c>
      <c r="EN25" s="2">
        <f>DR25+CL25</f>
        <v>1491.2550079999999</v>
      </c>
      <c r="EO25" s="2">
        <f>100*(EN25-EL25)/EL25</f>
        <v>52.49889063501449</v>
      </c>
      <c r="EP25" s="2">
        <f>100*(EN25-EM25)/EM25</f>
        <v>75.135163246428405</v>
      </c>
      <c r="EQ25" s="2">
        <f t="shared" si="39"/>
        <v>33481.620999999999</v>
      </c>
      <c r="ER25" s="2">
        <f t="shared" si="40"/>
        <v>31347.759999999998</v>
      </c>
      <c r="ES25" s="2">
        <f>DZ25+CT25</f>
        <v>14164.760516</v>
      </c>
      <c r="ET25" s="2">
        <f>100*(ES25-EQ25)/EQ25</f>
        <v>-57.69392253738252</v>
      </c>
      <c r="EU25" s="2">
        <f>100*(ES25-ER25)/ER25</f>
        <v>-54.814122233933148</v>
      </c>
      <c r="EV25" s="2">
        <f t="shared" si="41"/>
        <v>29.206448815605434</v>
      </c>
      <c r="EW25" s="2">
        <f t="shared" si="42"/>
        <v>27.162644550624407</v>
      </c>
      <c r="EX25" s="2">
        <f>(EN25*10^9)/(ES25*10^3)/10^3</f>
        <v>105.27922489868658</v>
      </c>
      <c r="EY25" s="2">
        <f>100*(EX25-EV25)/EV25</f>
        <v>260.46568195731606</v>
      </c>
      <c r="EZ25" s="2">
        <f>100*(EX25-EW25)/EW25</f>
        <v>287.58827294033284</v>
      </c>
    </row>
    <row r="26" spans="1:156" x14ac:dyDescent="0.45">
      <c r="A26">
        <v>2010</v>
      </c>
      <c r="B26" s="2">
        <v>510.520959</v>
      </c>
      <c r="C26" s="2">
        <v>566.20000000000005</v>
      </c>
      <c r="D26" s="2">
        <f t="shared" si="19"/>
        <v>1076.720959</v>
      </c>
      <c r="E26" s="2">
        <f t="shared" si="20"/>
        <v>1.1090631834372935</v>
      </c>
      <c r="F26" s="2"/>
      <c r="G26" s="2">
        <v>28109.897000000001</v>
      </c>
      <c r="H26" s="2"/>
      <c r="I26" s="2">
        <f t="shared" si="0"/>
        <v>18.161609023327266</v>
      </c>
      <c r="J26" s="2">
        <f t="shared" si="1"/>
        <v>38.303980943082074</v>
      </c>
      <c r="N26">
        <v>2010</v>
      </c>
      <c r="O26" s="2">
        <v>255.96742399999999</v>
      </c>
      <c r="P26" s="2">
        <f t="shared" si="2"/>
        <v>283.88404611768345</v>
      </c>
      <c r="Q26" s="2">
        <f t="shared" si="21"/>
        <v>539.85147011768345</v>
      </c>
      <c r="R26" s="2"/>
      <c r="S26" s="2"/>
      <c r="T26" s="2"/>
      <c r="U26" s="2"/>
      <c r="V26" s="2"/>
      <c r="W26" s="2">
        <v>24912.897000000001</v>
      </c>
      <c r="X26" s="2"/>
      <c r="Y26" s="2"/>
      <c r="Z26" s="2"/>
      <c r="AA26" s="2"/>
      <c r="AB26" s="2">
        <f t="shared" si="3"/>
        <v>10.274494531888443</v>
      </c>
      <c r="AC26" s="2">
        <f t="shared" si="22"/>
        <v>21.669558145633705</v>
      </c>
      <c r="AI26" s="2"/>
      <c r="AJ26" s="2"/>
      <c r="AK26">
        <v>2010</v>
      </c>
      <c r="AL26" s="2">
        <v>254.55353500000001</v>
      </c>
      <c r="AM26" s="2">
        <f t="shared" si="4"/>
        <v>282.31595388231653</v>
      </c>
      <c r="AN26" s="2">
        <f t="shared" si="5"/>
        <v>536.86948888231655</v>
      </c>
      <c r="AO26" s="2">
        <f t="shared" si="23"/>
        <v>169.11388899792971</v>
      </c>
      <c r="AP26" s="2"/>
      <c r="AQ26" s="2"/>
      <c r="AR26" s="2"/>
      <c r="AS26" s="2"/>
      <c r="AV26" s="78">
        <v>3197</v>
      </c>
      <c r="AW26" s="78">
        <f t="shared" si="24"/>
        <v>1007.0550000000001</v>
      </c>
      <c r="AX26" s="2"/>
      <c r="AY26" s="2"/>
      <c r="AZ26" s="2"/>
      <c r="BC26" s="2">
        <f t="shared" si="6"/>
        <v>79.622625899280578</v>
      </c>
      <c r="BD26" s="2">
        <f t="shared" si="7"/>
        <v>167.92914885277338</v>
      </c>
      <c r="BL26" s="2">
        <v>270.823466</v>
      </c>
      <c r="BM26" s="2">
        <f t="shared" si="8"/>
        <v>59.449053512195121</v>
      </c>
      <c r="BN26" s="2">
        <f t="shared" si="9"/>
        <v>330.27251951219512</v>
      </c>
      <c r="BO26" s="2"/>
      <c r="BP26" s="2"/>
      <c r="BQ26" s="2"/>
      <c r="BR26" s="2"/>
      <c r="BT26" s="2">
        <v>4127.5540000000001</v>
      </c>
      <c r="BU26" s="2"/>
      <c r="BV26" s="2"/>
      <c r="BW26" s="2"/>
      <c r="BY26" s="2">
        <f t="shared" si="10"/>
        <v>65.613548847574123</v>
      </c>
      <c r="BZ26" s="2">
        <f t="shared" si="25"/>
        <v>80.016522984846503</v>
      </c>
      <c r="CA26" s="2"/>
      <c r="CB26" s="2"/>
      <c r="CC26" s="2"/>
      <c r="CD26" s="2"/>
      <c r="CF26" s="2"/>
      <c r="CG26" s="2"/>
      <c r="CH26" s="2">
        <f t="shared" si="11"/>
        <v>781.344425</v>
      </c>
      <c r="CI26" s="2">
        <f t="shared" si="12"/>
        <v>625.64905351219511</v>
      </c>
      <c r="CJ26" s="2">
        <f t="shared" si="13"/>
        <v>1406.993478512195</v>
      </c>
      <c r="CK26" s="2">
        <f t="shared" si="14"/>
        <v>1039.2378786278082</v>
      </c>
      <c r="CL26" s="2"/>
      <c r="CM26" s="2"/>
      <c r="CN26" s="2"/>
      <c r="CO26" s="2"/>
      <c r="CR26" s="2">
        <f t="shared" si="15"/>
        <v>32237.451000000001</v>
      </c>
      <c r="CS26" s="2">
        <f t="shared" si="16"/>
        <v>30047.506000000001</v>
      </c>
      <c r="CT26" s="2"/>
      <c r="CU26" s="2"/>
      <c r="CV26" s="2"/>
      <c r="CY26" s="2">
        <f t="shared" si="17"/>
        <v>24.23716518405875</v>
      </c>
      <c r="CZ26" s="2">
        <f t="shared" si="18"/>
        <v>43.644687618515349</v>
      </c>
      <c r="DA26" s="2"/>
      <c r="DC26" s="2"/>
      <c r="DD26" s="2"/>
      <c r="DF26" s="2"/>
      <c r="DH26">
        <v>2010</v>
      </c>
      <c r="DI26" s="2">
        <v>719.57426799999996</v>
      </c>
      <c r="DJ26" s="2">
        <f>619091*10^6/10^9</f>
        <v>619.09100000000001</v>
      </c>
      <c r="DK26" s="67">
        <f t="shared" si="43"/>
        <v>0.8603573356239026</v>
      </c>
      <c r="DL26" s="2">
        <f t="shared" si="31"/>
        <v>100.48326799999995</v>
      </c>
      <c r="DM26" s="82">
        <v>401.5</v>
      </c>
      <c r="DN26" s="2">
        <f t="shared" si="27"/>
        <v>342.05094648780488</v>
      </c>
      <c r="DO26" s="2">
        <f>DN26*DK26</f>
        <v>294.28604096788189</v>
      </c>
      <c r="DP26" s="2">
        <f t="shared" si="33"/>
        <v>47.764905519922991</v>
      </c>
      <c r="DQ26" s="2">
        <f t="shared" si="34"/>
        <v>148.24817351992294</v>
      </c>
      <c r="DR26" s="2"/>
      <c r="DS26" s="2"/>
      <c r="DT26" s="2"/>
      <c r="DV26" s="2">
        <v>1649.2850000000001</v>
      </c>
      <c r="DW26" s="2">
        <f>4635/10^3</f>
        <v>4.6349999999999998</v>
      </c>
      <c r="DX26" s="81">
        <f t="shared" si="44"/>
        <v>2.810308709531706E-3</v>
      </c>
      <c r="DY26" s="2">
        <f t="shared" si="29"/>
        <v>1644.65</v>
      </c>
      <c r="DZ26" s="2"/>
      <c r="EA26" s="2"/>
      <c r="EB26" s="2"/>
      <c r="EC26" s="2">
        <f t="shared" si="30"/>
        <v>436.29467799682891</v>
      </c>
      <c r="ED26" s="2">
        <f t="shared" si="35"/>
        <v>61.097052868391422</v>
      </c>
      <c r="EE26" s="2">
        <f t="shared" si="36"/>
        <v>90.139648873573677</v>
      </c>
      <c r="EF26" s="2"/>
      <c r="EG26" s="2"/>
      <c r="EH26" s="2"/>
      <c r="EK26">
        <v>2010</v>
      </c>
      <c r="EL26" s="2">
        <f t="shared" si="37"/>
        <v>1500.9186930000001</v>
      </c>
      <c r="EM26" s="2">
        <f t="shared" si="38"/>
        <v>1187.4860521477312</v>
      </c>
      <c r="EN26" s="2"/>
      <c r="EO26" s="2"/>
      <c r="EQ26" s="2">
        <f t="shared" si="39"/>
        <v>33886.736000000004</v>
      </c>
      <c r="ER26" s="2">
        <f t="shared" si="40"/>
        <v>31692.156000000003</v>
      </c>
      <c r="ES26" s="2"/>
      <c r="ET26" s="2"/>
      <c r="EV26" s="2">
        <f t="shared" si="41"/>
        <v>44.292217845944201</v>
      </c>
      <c r="EW26" s="2">
        <f t="shared" si="42"/>
        <v>37.469399435864545</v>
      </c>
      <c r="EX26" s="2"/>
      <c r="EY26" s="2"/>
    </row>
    <row r="27" spans="1:156" x14ac:dyDescent="0.45">
      <c r="A27">
        <v>2011</v>
      </c>
      <c r="B27" s="2">
        <v>528.79923199999996</v>
      </c>
      <c r="C27" s="2">
        <v>580.5</v>
      </c>
      <c r="D27" s="2">
        <f t="shared" si="19"/>
        <v>1109.2992319999998</v>
      </c>
      <c r="E27" s="2">
        <f t="shared" si="20"/>
        <v>1.0977701268673552</v>
      </c>
      <c r="F27" s="2"/>
      <c r="G27" s="2">
        <v>28533.148000000001</v>
      </c>
      <c r="H27" s="2"/>
      <c r="I27" s="2">
        <f t="shared" si="0"/>
        <v>18.532803741108413</v>
      </c>
      <c r="J27" s="2">
        <f t="shared" si="1"/>
        <v>38.877562055192776</v>
      </c>
      <c r="N27">
        <v>2011</v>
      </c>
      <c r="O27" s="2">
        <v>273.04770200000002</v>
      </c>
      <c r="P27" s="2">
        <f t="shared" si="2"/>
        <v>299.74361046537979</v>
      </c>
      <c r="Q27" s="2">
        <f t="shared" si="21"/>
        <v>572.79131246537986</v>
      </c>
      <c r="R27" s="2"/>
      <c r="S27" s="2"/>
      <c r="T27" s="2"/>
      <c r="U27" s="2"/>
      <c r="V27" s="2"/>
      <c r="W27" s="2">
        <v>25294.148000000001</v>
      </c>
      <c r="X27" s="2"/>
      <c r="Y27" s="2"/>
      <c r="Z27" s="2"/>
      <c r="AA27" s="2"/>
      <c r="AB27" s="2">
        <f t="shared" si="3"/>
        <v>10.794896194961774</v>
      </c>
      <c r="AC27" s="2">
        <f t="shared" si="22"/>
        <v>22.645210760424895</v>
      </c>
      <c r="AI27" s="2"/>
      <c r="AJ27" s="2"/>
      <c r="AK27">
        <v>2011</v>
      </c>
      <c r="AL27" s="2">
        <v>255.75153</v>
      </c>
      <c r="AM27" s="2">
        <f t="shared" si="4"/>
        <v>280.75638953462021</v>
      </c>
      <c r="AN27" s="2">
        <f t="shared" si="5"/>
        <v>536.50791953462021</v>
      </c>
      <c r="AO27" s="2">
        <f t="shared" si="23"/>
        <v>168.99999465340537</v>
      </c>
      <c r="AP27" s="2"/>
      <c r="AQ27" s="2"/>
      <c r="AR27" s="2"/>
      <c r="AS27" s="2"/>
      <c r="AV27" s="78">
        <v>3239</v>
      </c>
      <c r="AW27" s="78">
        <f t="shared" si="24"/>
        <v>1020.285</v>
      </c>
      <c r="AX27" s="2"/>
      <c r="AY27" s="2"/>
      <c r="AZ27" s="2"/>
      <c r="BC27" s="2">
        <f t="shared" si="6"/>
        <v>78.960027786353805</v>
      </c>
      <c r="BD27" s="2">
        <f t="shared" si="7"/>
        <v>165.63998750682936</v>
      </c>
      <c r="BL27" s="2">
        <v>294.17491799999999</v>
      </c>
      <c r="BM27" s="2">
        <f t="shared" si="8"/>
        <v>64.574981999999977</v>
      </c>
      <c r="BN27" s="2">
        <f t="shared" si="9"/>
        <v>358.74989999999997</v>
      </c>
      <c r="BO27" s="2"/>
      <c r="BP27" s="2"/>
      <c r="BQ27" s="2"/>
      <c r="BR27" s="2"/>
      <c r="BT27" s="2">
        <v>4158.5720000000001</v>
      </c>
      <c r="BU27" s="2"/>
      <c r="BV27" s="2"/>
      <c r="BW27" s="2"/>
      <c r="BY27" s="2">
        <f t="shared" si="10"/>
        <v>70.739407181118906</v>
      </c>
      <c r="BZ27" s="2">
        <f t="shared" si="25"/>
        <v>86.267569733071824</v>
      </c>
      <c r="CA27" s="2"/>
      <c r="CB27" s="2"/>
      <c r="CC27" s="2"/>
      <c r="CD27" s="2"/>
      <c r="CF27" s="2"/>
      <c r="CG27" s="2"/>
      <c r="CH27" s="2">
        <f t="shared" si="11"/>
        <v>822.97415000000001</v>
      </c>
      <c r="CI27" s="2">
        <f t="shared" si="12"/>
        <v>645.07498199999998</v>
      </c>
      <c r="CJ27" s="2">
        <f t="shared" si="13"/>
        <v>1468.0491320000001</v>
      </c>
      <c r="CK27" s="2">
        <f t="shared" si="14"/>
        <v>1100.5412071187852</v>
      </c>
      <c r="CL27" s="2"/>
      <c r="CM27" s="2"/>
      <c r="CN27" s="2"/>
      <c r="CO27" s="2"/>
      <c r="CR27" s="2">
        <f t="shared" si="15"/>
        <v>32691.72</v>
      </c>
      <c r="CS27" s="2">
        <f t="shared" si="16"/>
        <v>30473.005000000001</v>
      </c>
      <c r="CT27" s="2"/>
      <c r="CU27" s="2"/>
      <c r="CV27" s="2"/>
      <c r="CY27" s="2">
        <f t="shared" si="17"/>
        <v>25.173779476882832</v>
      </c>
      <c r="CZ27" s="2">
        <f t="shared" si="18"/>
        <v>44.905839521444577</v>
      </c>
      <c r="DA27" s="2"/>
      <c r="DC27" s="2"/>
      <c r="DD27" s="2"/>
      <c r="DF27" s="2"/>
      <c r="DH27">
        <v>2011</v>
      </c>
      <c r="DI27" s="2">
        <v>698.48471500000005</v>
      </c>
      <c r="DJ27" s="2">
        <f>DI27*$DK$33</f>
        <v>527.73633876755559</v>
      </c>
      <c r="DK27" s="2"/>
      <c r="DL27" s="2">
        <f t="shared" si="31"/>
        <v>170.74837623244446</v>
      </c>
      <c r="DM27" s="82">
        <v>366.5</v>
      </c>
      <c r="DN27" s="2">
        <f t="shared" si="27"/>
        <v>301.92501800000002</v>
      </c>
      <c r="DO27" s="2">
        <f t="shared" si="32"/>
        <v>228.11781011077431</v>
      </c>
      <c r="DP27" s="2">
        <f t="shared" si="33"/>
        <v>73.807207889225708</v>
      </c>
      <c r="DQ27" s="2">
        <f t="shared" si="34"/>
        <v>244.55558412167017</v>
      </c>
      <c r="DR27" s="2"/>
      <c r="DS27" s="2"/>
      <c r="DT27" s="2"/>
      <c r="DV27" s="2">
        <v>1624.8879999999999</v>
      </c>
      <c r="DW27" s="2">
        <f>DV27*$DX$33</f>
        <v>4.7029238997430411</v>
      </c>
      <c r="DX27" s="81"/>
      <c r="DY27" s="2">
        <f t="shared" si="29"/>
        <v>1620.185076100257</v>
      </c>
      <c r="DZ27" s="2"/>
      <c r="EA27" s="2"/>
      <c r="EB27" s="2"/>
      <c r="EC27" s="2">
        <f t="shared" si="30"/>
        <v>429.86637540556643</v>
      </c>
      <c r="ED27" s="2">
        <f t="shared" si="35"/>
        <v>105.3881922202563</v>
      </c>
      <c r="EE27" s="2">
        <f t="shared" si="36"/>
        <v>150.94299270445634</v>
      </c>
      <c r="EF27" s="2"/>
      <c r="EG27" s="2"/>
      <c r="EH27" s="2"/>
      <c r="EK27">
        <v>2011</v>
      </c>
      <c r="EL27" s="2">
        <f t="shared" si="37"/>
        <v>1521.4588650000001</v>
      </c>
      <c r="EM27" s="2">
        <f t="shared" si="38"/>
        <v>1345.0967912404553</v>
      </c>
      <c r="EN27" s="2"/>
      <c r="EO27" s="2"/>
      <c r="EQ27" s="2">
        <f t="shared" si="39"/>
        <v>34316.608</v>
      </c>
      <c r="ER27" s="2">
        <f t="shared" si="40"/>
        <v>32093.190076100258</v>
      </c>
      <c r="ES27" s="2"/>
      <c r="ET27" s="2"/>
      <c r="EV27" s="2">
        <f t="shared" si="41"/>
        <v>44.335933930299873</v>
      </c>
      <c r="EW27" s="2">
        <f t="shared" si="42"/>
        <v>41.912218388104293</v>
      </c>
      <c r="EX27" s="2"/>
      <c r="EY27" s="2"/>
    </row>
    <row r="28" spans="1:156" x14ac:dyDescent="0.45">
      <c r="A28">
        <v>2012</v>
      </c>
      <c r="B28" s="2">
        <v>691.59227099999998</v>
      </c>
      <c r="C28" s="2">
        <v>636.70000000000005</v>
      </c>
      <c r="D28" s="2">
        <f t="shared" si="19"/>
        <v>1328.292271</v>
      </c>
      <c r="E28" s="2">
        <f t="shared" si="20"/>
        <v>0.92062914335258683</v>
      </c>
      <c r="F28" s="2">
        <v>868.87890000000004</v>
      </c>
      <c r="G28" s="2">
        <v>28720.538</v>
      </c>
      <c r="H28" s="2">
        <v>10070.4288</v>
      </c>
      <c r="I28" s="2">
        <f t="shared" si="0"/>
        <v>24.080059746791651</v>
      </c>
      <c r="J28" s="2">
        <f t="shared" si="1"/>
        <v>46.248864523359551</v>
      </c>
      <c r="K28" s="2">
        <f>(F28*10^9)/(H28*10^3)/10^3</f>
        <v>86.280228702873117</v>
      </c>
      <c r="L28" s="2"/>
      <c r="M28" s="2"/>
      <c r="N28">
        <v>2012</v>
      </c>
      <c r="O28" s="2">
        <v>299.36422399999998</v>
      </c>
      <c r="P28" s="2">
        <f t="shared" si="2"/>
        <v>275.60342909153189</v>
      </c>
      <c r="Q28" s="2">
        <f t="shared" si="21"/>
        <v>574.96765309153193</v>
      </c>
      <c r="R28" s="2">
        <v>271.14089999999999</v>
      </c>
      <c r="S28" s="2">
        <v>207.39772405806531</v>
      </c>
      <c r="T28" s="2">
        <v>325.12919943548781</v>
      </c>
      <c r="U28" s="2">
        <f>100*(R28-O28)/O28</f>
        <v>-9.4277544667461655</v>
      </c>
      <c r="V28" s="2">
        <f>100*(R28-Q28)/Q28</f>
        <v>-52.84240799597891</v>
      </c>
      <c r="W28" s="2">
        <v>25389.538</v>
      </c>
      <c r="X28" s="2">
        <v>6184.8190000000004</v>
      </c>
      <c r="Y28" s="2">
        <v>5760.0692499999996</v>
      </c>
      <c r="Z28" s="2">
        <v>6643.6319499999991</v>
      </c>
      <c r="AA28" s="2">
        <f>100*(X28-W28)/W28</f>
        <v>-75.640285380537449</v>
      </c>
      <c r="AB28" s="2">
        <f t="shared" si="3"/>
        <v>11.790849601123108</v>
      </c>
      <c r="AC28" s="2">
        <f t="shared" si="22"/>
        <v>22.645849368804271</v>
      </c>
      <c r="AD28" s="2">
        <f>(R28*10^9)/(X28*10^3)/10^3</f>
        <v>43.839746967534545</v>
      </c>
      <c r="AE28" s="2">
        <v>34.118103258237667</v>
      </c>
      <c r="AF28" s="2">
        <v>51.702398502804463</v>
      </c>
      <c r="AG28" s="2">
        <f>100*(AD28-AB28)/AB28</f>
        <v>271.8116034942783</v>
      </c>
      <c r="AH28" s="2">
        <f>100*(AD28-AC28)/AC28</f>
        <v>93.588441985867263</v>
      </c>
      <c r="AI28" s="2"/>
      <c r="AJ28" s="2"/>
      <c r="AK28">
        <v>2012</v>
      </c>
      <c r="AL28" s="2">
        <v>392.228047</v>
      </c>
      <c r="AM28" s="2">
        <f t="shared" si="4"/>
        <v>361.09657090846815</v>
      </c>
      <c r="AN28" s="2">
        <f t="shared" si="5"/>
        <v>753.3246179084681</v>
      </c>
      <c r="AO28" s="2">
        <f t="shared" si="23"/>
        <v>237.29725464116746</v>
      </c>
      <c r="AP28" s="2">
        <v>597.73800000000006</v>
      </c>
      <c r="AQ28" s="2">
        <v>525.86142782889158</v>
      </c>
      <c r="AR28" s="2">
        <v>705.93473412643391</v>
      </c>
      <c r="AS28" s="2">
        <f>100*(AP28-AL28)/AL28</f>
        <v>52.395527186764404</v>
      </c>
      <c r="AT28" s="2">
        <f>100*(AP28-AN28)/AN28</f>
        <v>-20.653329814235864</v>
      </c>
      <c r="AU28" s="2">
        <f>100*(AP28-AO28)/AO28</f>
        <v>151.89419106591788</v>
      </c>
      <c r="AV28" s="78">
        <v>3331</v>
      </c>
      <c r="AW28" s="78">
        <f t="shared" si="24"/>
        <v>1049.2650000000001</v>
      </c>
      <c r="AX28" s="2">
        <v>3885.6098000000002</v>
      </c>
      <c r="AY28" s="2">
        <v>3588.5364349971578</v>
      </c>
      <c r="AZ28" s="2">
        <v>4274.3297320641523</v>
      </c>
      <c r="BA28" s="2">
        <f>100*(AX28-AV28)/AV28</f>
        <v>16.649948964274998</v>
      </c>
      <c r="BB28" s="2">
        <f>100*(AX28-AW28)/AW28</f>
        <v>270.31729829928565</v>
      </c>
      <c r="BC28" s="2">
        <f t="shared" si="6"/>
        <v>117.75083968778145</v>
      </c>
      <c r="BD28" s="2">
        <f t="shared" si="7"/>
        <v>226.15569435859146</v>
      </c>
      <c r="BE28" s="2">
        <f>(AP28*10^9)/(AX28*10^3)/10^3</f>
        <v>153.83376889774161</v>
      </c>
      <c r="BF28" s="2">
        <v>132.7176312422456</v>
      </c>
      <c r="BG28" s="2">
        <v>184.88616174527249</v>
      </c>
      <c r="BH28" s="2">
        <f>100*(BE28-BC28)/BC28</f>
        <v>30.64345808967029</v>
      </c>
      <c r="BI28" s="2">
        <f>100*(BE28-BD28)/BD28</f>
        <v>-31.978821345164331</v>
      </c>
      <c r="BJ28" s="2"/>
      <c r="BK28" s="2"/>
      <c r="BL28" s="2">
        <v>380.46752700000002</v>
      </c>
      <c r="BM28" s="2">
        <f t="shared" si="8"/>
        <v>83.51726202439022</v>
      </c>
      <c r="BN28" s="2">
        <f t="shared" si="9"/>
        <v>463.98478902439024</v>
      </c>
      <c r="BO28" s="2">
        <v>421.53</v>
      </c>
      <c r="BP28" s="2">
        <v>353.42083258981847</v>
      </c>
      <c r="BQ28" s="2">
        <v>510.511415248562</v>
      </c>
      <c r="BR28" s="2">
        <f>100*(BO28-BL28)/BL28</f>
        <v>10.792635398815509</v>
      </c>
      <c r="BS28" s="2">
        <f>100*(BO28-BN28)/BN28</f>
        <v>-9.1500389729712772</v>
      </c>
      <c r="BT28" s="2">
        <v>4205.4520000000002</v>
      </c>
      <c r="BU28" s="2">
        <v>1923.002</v>
      </c>
      <c r="BV28" s="2">
        <v>1682.593018439853</v>
      </c>
      <c r="BW28" s="2">
        <v>2205.277789816304</v>
      </c>
      <c r="BX28" s="2">
        <f>100*(BU28-BT28)/BT28</f>
        <v>-54.273595323404002</v>
      </c>
      <c r="BY28" s="2">
        <f t="shared" si="10"/>
        <v>90.470067664545937</v>
      </c>
      <c r="BZ28" s="2">
        <f t="shared" si="25"/>
        <v>110.32935081042186</v>
      </c>
      <c r="CA28" s="2">
        <f>(BO28*10^9)/(BU28*10^3)/10^3</f>
        <v>219.20414019330192</v>
      </c>
      <c r="CB28" s="2">
        <v>183.1737024533922</v>
      </c>
      <c r="CC28" s="2">
        <v>263.6280853791643</v>
      </c>
      <c r="CD28" s="2">
        <f>100*(CA28-BY28)/BY28</f>
        <v>142.29465706391332</v>
      </c>
      <c r="CE28" s="2">
        <f>100*(CA28-BZ28)/BZ28</f>
        <v>98.681618792408955</v>
      </c>
      <c r="CF28" s="2"/>
      <c r="CG28" s="2"/>
      <c r="CH28" s="2">
        <f t="shared" si="11"/>
        <v>1072.059798</v>
      </c>
      <c r="CI28" s="2">
        <f t="shared" si="12"/>
        <v>720.21726202439027</v>
      </c>
      <c r="CJ28" s="2">
        <f t="shared" si="13"/>
        <v>1792.2770600243903</v>
      </c>
      <c r="CK28" s="2">
        <f t="shared" si="14"/>
        <v>1276.2496967570896</v>
      </c>
      <c r="CL28" s="2">
        <f>BO28+AP28+R28</f>
        <v>1290.4088999999999</v>
      </c>
      <c r="CM28" s="2">
        <v>1173.58633769585</v>
      </c>
      <c r="CN28" s="2">
        <v>1459.755228622771</v>
      </c>
      <c r="CO28" s="2">
        <f>100*(CL28-CH28)/CH28</f>
        <v>20.367250260418768</v>
      </c>
      <c r="CP28" s="2">
        <f>100*(CL28-CJ28)/CJ28</f>
        <v>-28.001706388941937</v>
      </c>
      <c r="CQ28" s="2">
        <f>100*(CL28-CK28)/CK28</f>
        <v>1.1094383237769514</v>
      </c>
      <c r="CR28" s="2">
        <f t="shared" si="15"/>
        <v>32925.99</v>
      </c>
      <c r="CS28" s="2">
        <f t="shared" si="16"/>
        <v>30644.255000000001</v>
      </c>
      <c r="CT28" s="2">
        <f>BU28+AX28+X28</f>
        <v>11993.430800000002</v>
      </c>
      <c r="CU28" s="2">
        <v>11473.01353552561</v>
      </c>
      <c r="CV28" s="2">
        <v>4274.3297320641523</v>
      </c>
      <c r="CW28" s="2">
        <f>100*(CT28-CR28)/CR28</f>
        <v>-63.574578015725564</v>
      </c>
      <c r="CX28" s="2">
        <f>100*(CT28-CS28)/CS28</f>
        <v>-60.862384156508284</v>
      </c>
      <c r="CY28" s="2">
        <f t="shared" si="17"/>
        <v>32.559683034587572</v>
      </c>
      <c r="CZ28" s="2">
        <f t="shared" si="18"/>
        <v>54.433505568834548</v>
      </c>
      <c r="DA28" s="2">
        <f>(CL28*10^9)/(CT28*10^3)/10^3</f>
        <v>107.59297498093704</v>
      </c>
      <c r="DB28" s="2">
        <v>96.979042635842262</v>
      </c>
      <c r="DC28" s="2">
        <v>121.3116730422468</v>
      </c>
      <c r="DD28" s="2">
        <f>100*(DA28-CY28)/CY28</f>
        <v>230.44847170853271</v>
      </c>
      <c r="DE28" s="2">
        <f>100*(DA28-CZ28)/CZ28</f>
        <v>97.659463333440925</v>
      </c>
      <c r="DF28" s="2"/>
      <c r="DH28">
        <v>2012</v>
      </c>
      <c r="DI28" s="2">
        <v>970.80900899999995</v>
      </c>
      <c r="DJ28" s="2">
        <f>691661*10^6/10^9</f>
        <v>691.66099999999994</v>
      </c>
      <c r="DK28" s="67">
        <f t="shared" si="43"/>
        <v>0.71245836574225696</v>
      </c>
      <c r="DL28" s="2">
        <f t="shared" si="31"/>
        <v>279.148009</v>
      </c>
      <c r="DM28" s="82">
        <v>371.6</v>
      </c>
      <c r="DN28" s="2">
        <f t="shared" si="27"/>
        <v>288.0827379756098</v>
      </c>
      <c r="DO28" s="2">
        <f>DN28*DK28</f>
        <v>205.24695669665778</v>
      </c>
      <c r="DP28" s="2">
        <f t="shared" si="33"/>
        <v>82.835781278952027</v>
      </c>
      <c r="DQ28" s="2">
        <f t="shared" si="34"/>
        <v>361.98379027895203</v>
      </c>
      <c r="DR28" s="2">
        <v>223.45086599999999</v>
      </c>
      <c r="DS28" s="2">
        <f>100*(DR28-DI28)/DI28</f>
        <v>-76.983025092631792</v>
      </c>
      <c r="DT28" s="2">
        <f>100*(DR28-DL28)/DL28</f>
        <v>-19.952548900321911</v>
      </c>
      <c r="DU28" s="2">
        <f>100*(DR28-DQ28)/DQ28</f>
        <v>-38.270477297393832</v>
      </c>
      <c r="DV28" s="2">
        <v>1591.973</v>
      </c>
      <c r="DW28" s="39">
        <f>4339/10^3</f>
        <v>4.3390000000000004</v>
      </c>
      <c r="DX28" s="81">
        <f t="shared" si="44"/>
        <v>2.7255487373215505E-3</v>
      </c>
      <c r="DY28" s="2">
        <f t="shared" si="29"/>
        <v>1587.634</v>
      </c>
      <c r="DZ28" s="2">
        <v>738.13880800000004</v>
      </c>
      <c r="EA28" s="2">
        <f>100*(DZ28-DV28)/DV28</f>
        <v>-53.633710621976626</v>
      </c>
      <c r="EB28" s="2">
        <f>100*(DZ28-DY28)/DY28</f>
        <v>-53.506991661806182</v>
      </c>
      <c r="EC28" s="2">
        <f t="shared" si="30"/>
        <v>609.81499623423258</v>
      </c>
      <c r="ED28" s="2">
        <f t="shared" si="35"/>
        <v>175.82642410026494</v>
      </c>
      <c r="EE28" s="2">
        <f t="shared" si="36"/>
        <v>228.00203968858818</v>
      </c>
      <c r="EF28" s="2">
        <f>(DR28*10^9)/(DZ28*10^3)/10^3</f>
        <v>302.72201322870961</v>
      </c>
      <c r="EG28" s="2">
        <f>100*(EF28-EC28)/EC28</f>
        <v>-50.358384903930315</v>
      </c>
      <c r="EH28" s="2">
        <f>100*(EF28-ED28)/ED28</f>
        <v>72.170943461878352</v>
      </c>
      <c r="EI28" s="2">
        <f>100*(EF28-EE28)/EE28</f>
        <v>32.771625044309317</v>
      </c>
      <c r="EK28">
        <v>2012</v>
      </c>
      <c r="EL28" s="2">
        <f t="shared" si="37"/>
        <v>2042.8688069999998</v>
      </c>
      <c r="EM28" s="2">
        <f t="shared" si="38"/>
        <v>1638.2334870360417</v>
      </c>
      <c r="EN28" s="2">
        <f>DR28+CL28</f>
        <v>1513.8597659999998</v>
      </c>
      <c r="EO28" s="2">
        <f>100*(EN28-EL28)/EL28</f>
        <v>-25.89539960605018</v>
      </c>
      <c r="EP28" s="2">
        <f>100*(EN28-EM28)/EM28</f>
        <v>-7.5919410767914295</v>
      </c>
      <c r="EQ28" s="2">
        <f t="shared" si="39"/>
        <v>34517.962999999996</v>
      </c>
      <c r="ER28" s="2">
        <f t="shared" si="40"/>
        <v>32231.889000000003</v>
      </c>
      <c r="ES28" s="2">
        <f>DZ28+CT28</f>
        <v>12731.569608000002</v>
      </c>
      <c r="ET28" s="2">
        <f>100*(ES28-EQ28)/EQ28</f>
        <v>-63.116103902191433</v>
      </c>
      <c r="EU28" s="2">
        <f>100*(ES28-ER28)/ER28</f>
        <v>-60.500082362532332</v>
      </c>
      <c r="EV28" s="2">
        <f t="shared" si="41"/>
        <v>59.18277411097521</v>
      </c>
      <c r="EW28" s="2">
        <f t="shared" si="42"/>
        <v>50.826480788514807</v>
      </c>
      <c r="EX28" s="2">
        <f>(EN28*10^9)/(ES28*10^3)/10^3</f>
        <v>118.90598037878628</v>
      </c>
      <c r="EY28" s="2">
        <f>100*(EX28-EV28)/EV28</f>
        <v>100.91315786553446</v>
      </c>
      <c r="EZ28" s="2">
        <f>100*(EX28-EW28)/EW28</f>
        <v>133.94494077515455</v>
      </c>
    </row>
    <row r="29" spans="1:156" x14ac:dyDescent="0.45">
      <c r="A29">
        <v>2013</v>
      </c>
      <c r="B29" s="2">
        <v>682.07810700000005</v>
      </c>
      <c r="C29" s="2">
        <v>639.79999999999995</v>
      </c>
      <c r="D29" s="2">
        <f t="shared" si="19"/>
        <v>1321.878107</v>
      </c>
      <c r="E29" s="2">
        <f t="shared" si="20"/>
        <v>0.93801573959622764</v>
      </c>
      <c r="F29" s="2"/>
      <c r="G29" s="2">
        <v>29286.602999999999</v>
      </c>
      <c r="H29" s="2"/>
      <c r="I29" s="2">
        <f t="shared" si="0"/>
        <v>23.289765187174488</v>
      </c>
      <c r="J29" s="2">
        <f t="shared" si="1"/>
        <v>45.135931504244454</v>
      </c>
      <c r="N29">
        <v>2013</v>
      </c>
      <c r="O29" s="2">
        <v>294.47135100000003</v>
      </c>
      <c r="P29" s="2">
        <f t="shared" si="2"/>
        <v>276.21876209816537</v>
      </c>
      <c r="Q29" s="2">
        <f t="shared" si="21"/>
        <v>570.6901130981654</v>
      </c>
      <c r="R29" s="2"/>
      <c r="S29" s="2"/>
      <c r="T29" s="2"/>
      <c r="U29" s="2"/>
      <c r="V29" s="2"/>
      <c r="W29" s="2">
        <v>25887.602999999999</v>
      </c>
      <c r="X29" s="2"/>
      <c r="Y29" s="2"/>
      <c r="Z29" s="2"/>
      <c r="AA29" s="2"/>
      <c r="AB29" s="2">
        <f t="shared" si="3"/>
        <v>11.374994857577196</v>
      </c>
      <c r="AC29" s="2">
        <f t="shared" si="22"/>
        <v>22.04491907181076</v>
      </c>
      <c r="AI29" s="2"/>
      <c r="AJ29" s="2"/>
      <c r="AK29">
        <v>2013</v>
      </c>
      <c r="AL29" s="2">
        <v>387.60675600000002</v>
      </c>
      <c r="AM29" s="2">
        <f t="shared" si="4"/>
        <v>363.58123790183458</v>
      </c>
      <c r="AN29" s="2">
        <f t="shared" si="5"/>
        <v>751.1879939018346</v>
      </c>
      <c r="AO29" s="2">
        <f t="shared" si="23"/>
        <v>236.62421807907791</v>
      </c>
      <c r="AP29" s="2"/>
      <c r="AQ29" s="2"/>
      <c r="AR29" s="2"/>
      <c r="AS29" s="2"/>
      <c r="AV29" s="78">
        <v>3399</v>
      </c>
      <c r="AW29" s="78">
        <f t="shared" si="24"/>
        <v>1070.6849999999999</v>
      </c>
      <c r="AX29" s="2"/>
      <c r="AY29" s="2"/>
      <c r="AZ29" s="2"/>
      <c r="BC29" s="2">
        <f t="shared" si="6"/>
        <v>114.03552691968227</v>
      </c>
      <c r="BD29" s="2">
        <f t="shared" si="7"/>
        <v>221.00264604349357</v>
      </c>
      <c r="BL29" s="2">
        <v>382.64386500000001</v>
      </c>
      <c r="BM29" s="2">
        <f t="shared" si="8"/>
        <v>83.994994756097526</v>
      </c>
      <c r="BN29" s="2">
        <f t="shared" si="9"/>
        <v>466.63885975609753</v>
      </c>
      <c r="BO29" s="2"/>
      <c r="BP29" s="2"/>
      <c r="BQ29" s="2"/>
      <c r="BR29" s="2"/>
      <c r="BT29" s="2">
        <v>4257.9089999999997</v>
      </c>
      <c r="BU29" s="2"/>
      <c r="BV29" s="2"/>
      <c r="BW29" s="2"/>
      <c r="BY29" s="2">
        <f t="shared" si="10"/>
        <v>89.866614105656083</v>
      </c>
      <c r="BZ29" s="2">
        <f t="shared" si="25"/>
        <v>109.59343183616595</v>
      </c>
      <c r="CA29" s="2"/>
      <c r="CB29" s="2"/>
      <c r="CC29" s="2"/>
      <c r="CD29" s="2"/>
      <c r="CF29" s="2"/>
      <c r="CG29" s="2"/>
      <c r="CH29" s="2">
        <f t="shared" si="11"/>
        <v>1064.7219720000001</v>
      </c>
      <c r="CI29" s="2">
        <f t="shared" si="12"/>
        <v>723.79499475609748</v>
      </c>
      <c r="CJ29" s="2">
        <f t="shared" si="13"/>
        <v>1788.5169667560976</v>
      </c>
      <c r="CK29" s="2">
        <f t="shared" si="14"/>
        <v>1273.9531909333409</v>
      </c>
      <c r="CL29" s="2"/>
      <c r="CM29" s="2"/>
      <c r="CN29" s="2"/>
      <c r="CO29" s="2"/>
      <c r="CR29" s="2">
        <f t="shared" si="15"/>
        <v>33544.512000000002</v>
      </c>
      <c r="CS29" s="2">
        <f t="shared" si="16"/>
        <v>31216.197</v>
      </c>
      <c r="CT29" s="2"/>
      <c r="CU29" s="2"/>
      <c r="CV29" s="2"/>
      <c r="CY29" s="2">
        <f t="shared" si="17"/>
        <v>31.740571214748925</v>
      </c>
      <c r="CZ29" s="2">
        <f t="shared" si="18"/>
        <v>53.317722039184751</v>
      </c>
      <c r="DA29" s="2"/>
      <c r="DC29" s="2"/>
      <c r="DD29" s="2"/>
      <c r="DF29" s="2"/>
      <c r="DH29">
        <v>2013</v>
      </c>
      <c r="DI29" s="2">
        <v>1061.3971739999999</v>
      </c>
      <c r="DJ29" s="2">
        <f>DI29*$DK$33</f>
        <v>801.9328792112367</v>
      </c>
      <c r="DK29" s="2"/>
      <c r="DL29" s="2">
        <f t="shared" si="31"/>
        <v>259.46429478876325</v>
      </c>
      <c r="DM29" s="82">
        <v>386.2</v>
      </c>
      <c r="DN29" s="2">
        <f t="shared" si="27"/>
        <v>302.20500524390246</v>
      </c>
      <c r="DO29" s="2">
        <f t="shared" si="32"/>
        <v>228.32935295462693</v>
      </c>
      <c r="DP29" s="2">
        <f t="shared" si="33"/>
        <v>73.875652289275536</v>
      </c>
      <c r="DQ29" s="2">
        <f t="shared" si="34"/>
        <v>333.33994707803879</v>
      </c>
      <c r="DR29" s="2"/>
      <c r="DS29" s="2"/>
      <c r="DT29" s="2"/>
      <c r="DV29" s="2">
        <v>1582.809</v>
      </c>
      <c r="DW29" s="2">
        <f>DV29*$DX$33</f>
        <v>4.5811343765406498</v>
      </c>
      <c r="DX29" s="81"/>
      <c r="DY29" s="2">
        <f>DV29-DW29</f>
        <v>1578.2278656234594</v>
      </c>
      <c r="DZ29" s="2"/>
      <c r="EA29" s="2"/>
      <c r="EB29" s="2"/>
      <c r="EC29" s="2">
        <f t="shared" si="30"/>
        <v>670.57817715213901</v>
      </c>
      <c r="ED29" s="2">
        <f t="shared" si="35"/>
        <v>164.40230237999572</v>
      </c>
      <c r="EE29" s="2">
        <f t="shared" si="36"/>
        <v>211.21154577153342</v>
      </c>
      <c r="EF29" s="2"/>
      <c r="EG29" s="2"/>
      <c r="EH29" s="2"/>
      <c r="EK29">
        <v>2013</v>
      </c>
      <c r="EL29" s="2">
        <f t="shared" si="37"/>
        <v>2126.119146</v>
      </c>
      <c r="EM29" s="2">
        <f t="shared" si="38"/>
        <v>1607.2931380113796</v>
      </c>
      <c r="EN29" s="2"/>
      <c r="EO29" s="2"/>
      <c r="EQ29" s="2">
        <f t="shared" si="39"/>
        <v>35127.321000000004</v>
      </c>
      <c r="ER29" s="2">
        <f t="shared" si="40"/>
        <v>32794.424865623456</v>
      </c>
      <c r="ES29" s="2"/>
      <c r="ET29" s="2"/>
      <c r="EV29" s="2">
        <f t="shared" si="41"/>
        <v>60.526082988224466</v>
      </c>
      <c r="EW29" s="2">
        <f t="shared" si="42"/>
        <v>49.011170178996316</v>
      </c>
      <c r="EX29" s="2"/>
      <c r="EY29" s="2"/>
    </row>
    <row r="30" spans="1:156" x14ac:dyDescent="0.45">
      <c r="A30">
        <v>2014</v>
      </c>
      <c r="B30" s="2">
        <v>749.35450000000003</v>
      </c>
      <c r="C30" s="2">
        <v>688.8</v>
      </c>
      <c r="D30" s="2">
        <f t="shared" si="19"/>
        <v>1438.1545000000001</v>
      </c>
      <c r="E30" s="2">
        <f t="shared" si="20"/>
        <v>0.91919111715483115</v>
      </c>
      <c r="F30" s="2"/>
      <c r="G30" s="2">
        <v>29978.313999999998</v>
      </c>
      <c r="H30" s="2"/>
      <c r="I30" s="2">
        <f t="shared" si="0"/>
        <v>24.996552507922893</v>
      </c>
      <c r="J30" s="2">
        <f t="shared" si="1"/>
        <v>47.97316153269994</v>
      </c>
      <c r="N30">
        <v>2014</v>
      </c>
      <c r="O30" s="2">
        <v>308.78187200000002</v>
      </c>
      <c r="P30" s="2">
        <f t="shared" si="2"/>
        <v>283.82955388084008</v>
      </c>
      <c r="Q30" s="2">
        <f t="shared" si="21"/>
        <v>592.6114258808401</v>
      </c>
      <c r="R30" s="2"/>
      <c r="S30" s="2"/>
      <c r="T30" s="2"/>
      <c r="U30" s="2"/>
      <c r="V30" s="2"/>
      <c r="W30" s="2">
        <v>26416.313999999998</v>
      </c>
      <c r="X30" s="2"/>
      <c r="Y30" s="2"/>
      <c r="Z30" s="2"/>
      <c r="AA30" s="2"/>
      <c r="AB30" s="2">
        <f t="shared" si="3"/>
        <v>11.689059722715289</v>
      </c>
      <c r="AC30" s="2">
        <f t="shared" si="22"/>
        <v>22.433539587727498</v>
      </c>
      <c r="AI30" s="2"/>
      <c r="AJ30" s="2"/>
      <c r="AK30">
        <v>2014</v>
      </c>
      <c r="AL30" s="2">
        <v>440.57262800000001</v>
      </c>
      <c r="AM30" s="2">
        <f t="shared" si="4"/>
        <v>404.97044611915987</v>
      </c>
      <c r="AN30" s="2">
        <f t="shared" si="5"/>
        <v>845.54307411915988</v>
      </c>
      <c r="AO30" s="2">
        <f t="shared" si="23"/>
        <v>266.34606834753538</v>
      </c>
      <c r="AP30" s="2"/>
      <c r="AQ30" s="2"/>
      <c r="AR30" s="2"/>
      <c r="AS30" s="2"/>
      <c r="AV30" s="78">
        <v>3562</v>
      </c>
      <c r="AW30" s="78">
        <f t="shared" si="24"/>
        <v>1122.03</v>
      </c>
      <c r="AX30" s="2"/>
      <c r="AY30" s="2"/>
      <c r="AZ30" s="2"/>
      <c r="BC30" s="2">
        <f t="shared" si="6"/>
        <v>123.68686917462099</v>
      </c>
      <c r="BD30" s="2">
        <f t="shared" si="7"/>
        <v>237.37874062862434</v>
      </c>
      <c r="BL30" s="77">
        <v>506.75699300000002</v>
      </c>
      <c r="BM30" s="2">
        <f t="shared" si="8"/>
        <v>111.23933992682925</v>
      </c>
      <c r="BN30" s="2">
        <f t="shared" si="9"/>
        <v>617.99633292682927</v>
      </c>
      <c r="BO30" s="2"/>
      <c r="BR30" s="77"/>
      <c r="BS30" s="77"/>
      <c r="BT30" s="77">
        <v>4380.125</v>
      </c>
      <c r="BU30" s="2"/>
      <c r="BX30" s="77"/>
      <c r="BY30" s="2">
        <f t="shared" si="10"/>
        <v>115.69464181958277</v>
      </c>
      <c r="BZ30" s="2">
        <f t="shared" si="25"/>
        <v>141.09102660924728</v>
      </c>
      <c r="CA30" s="2"/>
      <c r="CD30" s="77"/>
      <c r="CE30" s="77"/>
      <c r="CF30" s="2"/>
      <c r="CG30" s="2"/>
      <c r="CH30" s="2">
        <f t="shared" si="11"/>
        <v>1256.1114930000001</v>
      </c>
      <c r="CI30" s="2">
        <f t="shared" si="12"/>
        <v>800.03933992682926</v>
      </c>
      <c r="CJ30" s="2">
        <f t="shared" si="13"/>
        <v>2056.1508329268295</v>
      </c>
      <c r="CK30" s="2">
        <f t="shared" si="14"/>
        <v>1476.9538271552046</v>
      </c>
      <c r="CL30" s="2"/>
      <c r="CO30" s="77"/>
      <c r="CP30" s="77"/>
      <c r="CQ30" s="77"/>
      <c r="CR30" s="2">
        <f t="shared" si="15"/>
        <v>34358.438999999998</v>
      </c>
      <c r="CS30" s="2">
        <f t="shared" si="16"/>
        <v>31918.468999999997</v>
      </c>
      <c r="CT30" s="2"/>
      <c r="CW30" s="77"/>
      <c r="CX30" s="77"/>
      <c r="CY30" s="2">
        <f t="shared" si="17"/>
        <v>36.559038465047841</v>
      </c>
      <c r="CZ30" s="2">
        <f t="shared" si="18"/>
        <v>59.844128335598413</v>
      </c>
      <c r="DA30" s="2"/>
      <c r="DD30" s="77"/>
      <c r="DE30" s="77"/>
      <c r="DF30" s="2"/>
      <c r="DH30">
        <v>2014</v>
      </c>
      <c r="DI30" s="77">
        <f>1268630828*10^3/10^9</f>
        <v>1268.6308280000001</v>
      </c>
      <c r="DJ30" s="2">
        <f>DI30*$DK$33</f>
        <v>958.50714273163806</v>
      </c>
      <c r="DK30" s="77"/>
      <c r="DL30" s="2">
        <f t="shared" si="31"/>
        <v>310.12368526836201</v>
      </c>
      <c r="DM30" s="82">
        <v>388.9</v>
      </c>
      <c r="DN30" s="2">
        <f t="shared" si="27"/>
        <v>277.66066007317073</v>
      </c>
      <c r="DO30" s="2">
        <f t="shared" si="32"/>
        <v>209.78500605671508</v>
      </c>
      <c r="DP30" s="2">
        <f t="shared" si="33"/>
        <v>67.875654016455655</v>
      </c>
      <c r="DQ30" s="2">
        <f t="shared" si="34"/>
        <v>377.99933928481767</v>
      </c>
      <c r="DR30" s="2"/>
      <c r="DS30" s="77"/>
      <c r="DT30" s="77"/>
      <c r="DU30" s="77"/>
      <c r="DV30" s="77">
        <f>1601402/10^3</f>
        <v>1601.402</v>
      </c>
      <c r="DW30" s="2">
        <f>DV30*$DX$33</f>
        <v>4.6349482172902423</v>
      </c>
      <c r="DX30" s="77"/>
      <c r="DY30" s="2">
        <f>DV30-DW30</f>
        <v>1596.7670517827098</v>
      </c>
      <c r="DZ30" s="2"/>
      <c r="EA30" s="2"/>
      <c r="EB30" s="77"/>
      <c r="EC30" s="2">
        <f t="shared" si="30"/>
        <v>792.20010216048183</v>
      </c>
      <c r="ED30" s="2">
        <f t="shared" si="35"/>
        <v>194.21974227369267</v>
      </c>
      <c r="EE30" s="2">
        <f t="shared" si="36"/>
        <v>236.72791774028684</v>
      </c>
      <c r="EF30" s="2"/>
      <c r="EG30" s="77"/>
      <c r="EH30" s="77"/>
      <c r="EI30" s="77"/>
      <c r="EK30">
        <v>2014</v>
      </c>
      <c r="EL30" s="2">
        <f t="shared" si="37"/>
        <v>2524.7423210000002</v>
      </c>
      <c r="EM30" s="2">
        <f t="shared" si="38"/>
        <v>1854.9531664400224</v>
      </c>
      <c r="EN30" s="2"/>
      <c r="EO30" s="77"/>
      <c r="EP30" s="77"/>
      <c r="EQ30" s="2">
        <f t="shared" si="39"/>
        <v>35959.841</v>
      </c>
      <c r="ER30" s="2">
        <f t="shared" si="40"/>
        <v>33515.236051782704</v>
      </c>
      <c r="ES30" s="2"/>
      <c r="ET30" s="2"/>
      <c r="EU30" s="77"/>
      <c r="EV30" s="2">
        <f t="shared" si="41"/>
        <v>70.210052402623248</v>
      </c>
      <c r="EW30" s="2">
        <f t="shared" si="42"/>
        <v>55.346564278229387</v>
      </c>
      <c r="EX30" s="2"/>
      <c r="EY30" s="77"/>
      <c r="EZ30" s="77"/>
    </row>
    <row r="31" spans="1:156" x14ac:dyDescent="0.45">
      <c r="A31">
        <v>2015</v>
      </c>
      <c r="B31" s="77">
        <f>O31+AL31</f>
        <v>697.805339</v>
      </c>
      <c r="C31" s="77">
        <v>672.3</v>
      </c>
      <c r="D31" s="2">
        <f t="shared" si="19"/>
        <v>1370.105339</v>
      </c>
      <c r="E31" s="2">
        <f t="shared" si="20"/>
        <v>0.96344920628358788</v>
      </c>
      <c r="F31" s="2">
        <v>1535.8206</v>
      </c>
      <c r="G31" s="2">
        <v>27025.871999999999</v>
      </c>
      <c r="H31" s="2">
        <v>12145.23</v>
      </c>
      <c r="I31" s="2">
        <f t="shared" si="0"/>
        <v>25.819900982288377</v>
      </c>
      <c r="J31" s="2">
        <f t="shared" si="1"/>
        <v>50.696064089994948</v>
      </c>
      <c r="K31" s="2">
        <f>(F31*10^9)/(H31*10^3)/10^3</f>
        <v>126.45463280645983</v>
      </c>
      <c r="L31" s="2"/>
      <c r="M31" s="2"/>
      <c r="N31">
        <v>2015</v>
      </c>
      <c r="O31" s="2">
        <v>317.86875400000002</v>
      </c>
      <c r="P31" s="2">
        <f t="shared" si="2"/>
        <v>306.25039874365308</v>
      </c>
      <c r="Q31" s="2">
        <f t="shared" si="21"/>
        <v>624.1191527436531</v>
      </c>
      <c r="R31" s="2">
        <v>284.12560000000002</v>
      </c>
      <c r="S31" s="2">
        <v>239.58456533074681</v>
      </c>
      <c r="T31" s="2">
        <v>335.4351004351962</v>
      </c>
      <c r="U31" s="2">
        <f>100*(R31-O31)/O31</f>
        <v>-10.615435954425392</v>
      </c>
      <c r="V31" s="2">
        <f>100*(R31-Q31)/Q31</f>
        <v>-54.475744134597953</v>
      </c>
      <c r="W31" s="2">
        <v>27025.871999999999</v>
      </c>
      <c r="X31" s="2">
        <v>7139.77</v>
      </c>
      <c r="Y31" s="2">
        <v>6608.5814499999997</v>
      </c>
      <c r="Z31" s="2">
        <v>7658.6850999999988</v>
      </c>
      <c r="AA31" s="2">
        <f>100*(X31-W31)/W31</f>
        <v>-73.581721988470903</v>
      </c>
      <c r="AB31" s="2">
        <f t="shared" si="3"/>
        <v>11.761646543726693</v>
      </c>
      <c r="AC31" s="2">
        <f t="shared" si="22"/>
        <v>23.093395570868282</v>
      </c>
      <c r="AD31" s="2">
        <f>(R31*10^9)/(X31*10^3)/10^3</f>
        <v>39.794783305344573</v>
      </c>
      <c r="AE31" s="2">
        <v>33.530998599479062</v>
      </c>
      <c r="AF31" s="2">
        <v>46.828070015287132</v>
      </c>
      <c r="AG31" s="2">
        <f>100*(AD31-AB31)/AB31</f>
        <v>238.34364225619339</v>
      </c>
      <c r="AH31" s="2">
        <f>100*(AD31-AC31)/AC31</f>
        <v>72.321056828666016</v>
      </c>
      <c r="AI31" s="2"/>
      <c r="AJ31" s="2"/>
      <c r="AK31">
        <v>2015</v>
      </c>
      <c r="AL31" s="2">
        <v>379.93658499999998</v>
      </c>
      <c r="AM31" s="2">
        <f t="shared" si="4"/>
        <v>366.04960125634688</v>
      </c>
      <c r="AN31" s="2">
        <f t="shared" si="5"/>
        <v>745.98618625634685</v>
      </c>
      <c r="AO31" s="2">
        <f t="shared" si="23"/>
        <v>234.98564867074927</v>
      </c>
      <c r="AP31" s="2">
        <v>1251.6949999999999</v>
      </c>
      <c r="AQ31" s="2">
        <v>917.12347372793897</v>
      </c>
      <c r="AR31" s="2">
        <v>1647.105207933427</v>
      </c>
      <c r="AS31" s="2">
        <f>100*(AP31-AL31)/AL31</f>
        <v>229.4483999217922</v>
      </c>
      <c r="AT31" s="2">
        <f>100*(AP31-AN31)/AN31</f>
        <v>67.790640505221617</v>
      </c>
      <c r="AU31" s="2">
        <f>100*(AP31-AO31)/AO31</f>
        <v>432.66870001657657</v>
      </c>
      <c r="AV31" s="79">
        <v>3641</v>
      </c>
      <c r="AW31" s="78">
        <f t="shared" si="24"/>
        <v>1146.915</v>
      </c>
      <c r="AX31" s="2">
        <v>5005.46</v>
      </c>
      <c r="AY31" s="2">
        <v>4601.2053856185412</v>
      </c>
      <c r="AZ31" s="2">
        <v>5357.6710203990169</v>
      </c>
      <c r="BA31" s="2">
        <f>100*(AX31-AV31)/AV31</f>
        <v>37.474869541334797</v>
      </c>
      <c r="BB31" s="2">
        <f>100*(AX31-AW31)/AW31</f>
        <v>336.42815727407873</v>
      </c>
      <c r="BC31" s="2">
        <f t="shared" si="6"/>
        <v>104.3495152430651</v>
      </c>
      <c r="BD31" s="2">
        <f t="shared" si="7"/>
        <v>204.88497288007326</v>
      </c>
      <c r="BE31" s="2">
        <f>(AP31*10^9)/(AX31*10^3)/10^3</f>
        <v>250.06592800661676</v>
      </c>
      <c r="BF31" s="2">
        <v>182.49099802767179</v>
      </c>
      <c r="BG31" s="2">
        <v>331.92641219521028</v>
      </c>
      <c r="BH31" s="2">
        <f>100*(BE31-BC31)/BC31</f>
        <v>139.64263506555747</v>
      </c>
      <c r="BI31" s="2">
        <f>100*(BE31-BD31)/BD31</f>
        <v>22.051863780653925</v>
      </c>
      <c r="BJ31" s="2"/>
      <c r="BK31" s="2"/>
      <c r="BL31" s="3"/>
      <c r="BM31" s="3"/>
      <c r="BN31" s="3"/>
      <c r="BO31" s="2">
        <v>474.85</v>
      </c>
      <c r="BP31" s="2">
        <v>382.97616771945388</v>
      </c>
      <c r="BQ31" s="2">
        <v>581.89760590424146</v>
      </c>
      <c r="BR31" s="3"/>
      <c r="BS31" s="3"/>
      <c r="BT31" s="3"/>
      <c r="BU31" s="2">
        <v>1608.22</v>
      </c>
      <c r="BV31" s="2">
        <v>1367.00877844209</v>
      </c>
      <c r="BW31" s="2">
        <v>1817.7589192930291</v>
      </c>
      <c r="BX31" s="3"/>
      <c r="BY31" s="3"/>
      <c r="BZ31" s="3"/>
      <c r="CA31" s="2">
        <f>(BO31*10^9)/(BU31*10^3)/10^3</f>
        <v>295.26432950715696</v>
      </c>
      <c r="CB31" s="2">
        <v>240.6388356196762</v>
      </c>
      <c r="CC31" s="2">
        <v>377.61481444658028</v>
      </c>
      <c r="CD31" s="3"/>
      <c r="CE31" s="3"/>
      <c r="CF31" s="2"/>
      <c r="CG31" s="2"/>
      <c r="CH31" s="3"/>
      <c r="CI31" s="3"/>
      <c r="CJ31" s="3"/>
      <c r="CK31" s="3"/>
      <c r="CL31" s="2">
        <f>BO31+AP31+R31</f>
        <v>2010.6706000000001</v>
      </c>
      <c r="CM31" s="2">
        <v>1663.4532043075831</v>
      </c>
      <c r="CN31" s="2">
        <v>2416.7969505679371</v>
      </c>
      <c r="CO31" s="3"/>
      <c r="CP31" s="3"/>
      <c r="CQ31" s="3"/>
      <c r="CR31" s="3"/>
      <c r="CS31" s="3"/>
      <c r="CT31" s="2">
        <f>BU31+AX31+X31</f>
        <v>13753.45</v>
      </c>
      <c r="CU31" s="2">
        <v>13049.901866395419</v>
      </c>
      <c r="CV31" s="2">
        <v>5357.6710203990169</v>
      </c>
      <c r="CW31" s="3"/>
      <c r="CX31" s="3"/>
      <c r="CY31" s="3"/>
      <c r="CZ31" s="3"/>
      <c r="DA31" s="2">
        <f>(CL31*10^9)/(CT31*10^3)/10^3</f>
        <v>146.19390771042904</v>
      </c>
      <c r="DB31" s="2">
        <v>121.0197605810624</v>
      </c>
      <c r="DC31" s="2">
        <v>177.04748597766351</v>
      </c>
      <c r="DD31" s="3"/>
      <c r="DE31" s="3"/>
      <c r="DF31" s="2"/>
      <c r="DH31">
        <v>2015</v>
      </c>
      <c r="DI31" s="3"/>
      <c r="DJ31" s="3"/>
      <c r="DK31" s="3"/>
      <c r="DL31" s="3"/>
      <c r="DM31" s="3"/>
      <c r="DN31" s="3"/>
      <c r="DO31" s="3"/>
      <c r="DP31" s="3"/>
      <c r="DQ31" s="3"/>
      <c r="DR31" s="2">
        <v>214.768698</v>
      </c>
      <c r="DS31" s="3"/>
      <c r="DT31" s="3"/>
      <c r="DU31" s="3"/>
      <c r="DV31" s="3"/>
      <c r="DW31" s="3"/>
      <c r="DX31" s="3"/>
      <c r="DY31" s="3"/>
      <c r="DZ31" s="2">
        <v>725.696055</v>
      </c>
      <c r="EA31" s="3"/>
      <c r="EB31" s="3"/>
      <c r="EC31" s="3"/>
      <c r="ED31" s="3"/>
      <c r="EE31" s="3"/>
      <c r="EF31" s="2">
        <f>(DR31*10^9)/(DZ31*10^3)/10^3</f>
        <v>295.94855383360181</v>
      </c>
      <c r="EG31" s="3"/>
      <c r="EH31" s="3"/>
      <c r="EI31" s="3"/>
      <c r="EK31">
        <v>2015</v>
      </c>
      <c r="EL31" s="3"/>
      <c r="EM31" s="3"/>
      <c r="EN31" s="2">
        <f>DR31+CL31</f>
        <v>2225.4392980000002</v>
      </c>
      <c r="EO31" s="3"/>
      <c r="EP31" s="3"/>
      <c r="EQ31" s="3"/>
      <c r="ER31" s="3"/>
      <c r="ES31" s="2">
        <f>DZ31+CT31</f>
        <v>14479.146055000001</v>
      </c>
      <c r="ET31" s="3"/>
      <c r="EU31" s="3"/>
      <c r="EV31" s="3"/>
      <c r="EW31" s="3"/>
      <c r="EX31" s="2">
        <f>(EN31*10^9)/(ES31*10^3)/10^3</f>
        <v>153.69962355145259</v>
      </c>
      <c r="EY31" s="3"/>
      <c r="EZ31" s="3"/>
    </row>
    <row r="32" spans="1:156" x14ac:dyDescent="0.45">
      <c r="A32">
        <v>2016</v>
      </c>
      <c r="B32" s="2">
        <f>O32+AL32</f>
        <v>665.26744699999995</v>
      </c>
      <c r="C32">
        <v>658.6</v>
      </c>
      <c r="D32" s="2">
        <f t="shared" si="19"/>
        <v>1323.8674470000001</v>
      </c>
      <c r="E32" s="2">
        <f t="shared" si="20"/>
        <v>0.98997779459965085</v>
      </c>
      <c r="G32" s="2">
        <f>W32+AV32</f>
        <v>30985.896000000001</v>
      </c>
      <c r="I32" s="2">
        <f t="shared" si="0"/>
        <v>21.470008387041638</v>
      </c>
      <c r="J32" s="2">
        <f t="shared" si="1"/>
        <v>42.724839940081125</v>
      </c>
      <c r="N32">
        <v>2016</v>
      </c>
      <c r="O32" s="2">
        <v>310.54342300000002</v>
      </c>
      <c r="P32" s="2">
        <f t="shared" si="2"/>
        <v>307.43109302896653</v>
      </c>
      <c r="Q32" s="2">
        <f t="shared" si="21"/>
        <v>617.97451602896649</v>
      </c>
      <c r="W32" s="2">
        <v>27276.896000000001</v>
      </c>
      <c r="AB32" s="2">
        <f t="shared" si="3"/>
        <v>11.384851964094448</v>
      </c>
      <c r="AC32" s="2">
        <f t="shared" si="22"/>
        <v>22.655602603352172</v>
      </c>
      <c r="AK32">
        <v>2016</v>
      </c>
      <c r="AL32" s="2">
        <v>354.72402399999999</v>
      </c>
      <c r="AM32" s="2">
        <f t="shared" si="4"/>
        <v>351.16890697103361</v>
      </c>
      <c r="AN32" s="2">
        <f t="shared" si="5"/>
        <v>705.89293097103359</v>
      </c>
      <c r="AO32" s="2">
        <f t="shared" si="23"/>
        <v>222.35627325587558</v>
      </c>
      <c r="AV32" s="78">
        <v>3709</v>
      </c>
      <c r="AW32" s="78">
        <f t="shared" si="24"/>
        <v>1168.335</v>
      </c>
      <c r="BC32" s="2">
        <f t="shared" si="6"/>
        <v>95.638723105958476</v>
      </c>
      <c r="BD32" s="2">
        <f t="shared" si="7"/>
        <v>190.3189352847219</v>
      </c>
      <c r="BL32" s="3"/>
      <c r="BM32" s="3"/>
      <c r="BN32" s="3"/>
      <c r="BT32" s="3"/>
      <c r="BY32" s="3"/>
      <c r="BZ32" s="3"/>
      <c r="CH32" s="3"/>
      <c r="CI32" s="3"/>
      <c r="CJ32" s="3"/>
      <c r="CK32" s="3"/>
      <c r="CR32" s="3"/>
      <c r="CS32" s="3"/>
      <c r="CY32" s="3"/>
      <c r="CZ32" s="3"/>
      <c r="DH32">
        <v>2016</v>
      </c>
      <c r="DI32" s="3"/>
      <c r="DJ32" s="3"/>
      <c r="DK32" s="3"/>
      <c r="DL32" s="3"/>
      <c r="DM32" s="3"/>
      <c r="DN32" s="3"/>
      <c r="DO32" s="3"/>
      <c r="DP32" s="3"/>
      <c r="DQ32" s="3"/>
      <c r="DV32" s="3"/>
      <c r="DW32" s="3"/>
      <c r="DX32" s="3"/>
      <c r="DY32" s="3"/>
      <c r="EA32" s="2"/>
      <c r="EB32" s="2"/>
      <c r="EC32" s="3"/>
      <c r="ED32" s="3"/>
      <c r="EE32" s="3"/>
      <c r="EK32">
        <v>2016</v>
      </c>
      <c r="EL32" s="3"/>
      <c r="EM32" s="3"/>
      <c r="EQ32" s="3"/>
      <c r="ER32" s="3"/>
      <c r="EV32" s="3"/>
      <c r="EW32" s="3"/>
    </row>
    <row r="33" spans="1:156" x14ac:dyDescent="0.45">
      <c r="O33" s="2"/>
      <c r="P33" s="2"/>
      <c r="Q33" s="2"/>
      <c r="W33" s="2"/>
      <c r="DK33" s="67">
        <f>AVERAGE(DK20:DK23,DK26:DK28)</f>
        <v>0.75554457733202585</v>
      </c>
      <c r="DX33" s="67">
        <f>AVERAGE(DX20:DX23,DX26:DX28)</f>
        <v>2.8943064997360075E-3</v>
      </c>
      <c r="EA33" s="2"/>
      <c r="EB33" s="2"/>
    </row>
    <row r="34" spans="1:156" ht="15" customHeight="1" x14ac:dyDescent="0.45">
      <c r="T34" t="s">
        <v>193</v>
      </c>
      <c r="U34" s="2">
        <f>AVERAGE(U4:U32)</f>
        <v>34.125882114290071</v>
      </c>
      <c r="V34" s="2">
        <f>AVERAGE(V4:V32)</f>
        <v>-33.257611719345945</v>
      </c>
      <c r="Z34" t="s">
        <v>193</v>
      </c>
      <c r="AA34" s="2">
        <f>AVERAGE(AA4:AA31)</f>
        <v>-65.453273257410942</v>
      </c>
      <c r="AF34" t="s">
        <v>193</v>
      </c>
      <c r="AG34" s="2">
        <f>AVERAGE(AG4:AG31)</f>
        <v>288.65606342873855</v>
      </c>
      <c r="AH34" s="2">
        <f>AVERAGE(AH4:AH31)</f>
        <v>93.653119448181229</v>
      </c>
      <c r="AR34" t="s">
        <v>193</v>
      </c>
      <c r="AS34" s="2">
        <f>AVERAGE(AS4:AS31)</f>
        <v>297.81892891650199</v>
      </c>
      <c r="AT34" s="2">
        <f>AVERAGE(AT4:AT31)</f>
        <v>98.407326557448727</v>
      </c>
      <c r="AU34" s="2">
        <f>AVERAGE(AU4:AU31)</f>
        <v>529.86452875380542</v>
      </c>
      <c r="AZ34" t="s">
        <v>193</v>
      </c>
      <c r="BA34" s="2">
        <f>AVERAGE(BA4:BA31)</f>
        <v>6.6079999980989355</v>
      </c>
      <c r="BB34" s="2">
        <f>AVERAGE(BB4:BB31)</f>
        <v>238.43809523206014</v>
      </c>
      <c r="BG34" t="s">
        <v>193</v>
      </c>
      <c r="BH34" s="2">
        <f>AVERAGE(BH4:BH31)</f>
        <v>283.6216406359473</v>
      </c>
      <c r="BI34" s="2">
        <f>AVERAGE(BI4:BI31)</f>
        <v>91.344933475931811</v>
      </c>
      <c r="BQ34" t="s">
        <v>193</v>
      </c>
      <c r="BR34" s="2">
        <f>AVERAGE(BR4:BR31)</f>
        <v>137.11993695103016</v>
      </c>
      <c r="BS34" s="2">
        <f>AVERAGE(BS4:BS31)</f>
        <v>94.438348299844748</v>
      </c>
      <c r="BW34" t="s">
        <v>193</v>
      </c>
      <c r="BX34" s="2">
        <f>AVERAGE(BX4:BX31)</f>
        <v>-36.570842326943819</v>
      </c>
      <c r="CC34" t="s">
        <v>193</v>
      </c>
      <c r="CD34" s="2">
        <f>AVERAGE(CD4:CD31)</f>
        <v>272.93487541953778</v>
      </c>
      <c r="CE34" s="2">
        <f>AVERAGE(CE4:CE31)</f>
        <v>205.80659784402098</v>
      </c>
      <c r="CN34" t="s">
        <v>193</v>
      </c>
      <c r="CO34" s="2">
        <f>AVERAGE(CO4:CO31)</f>
        <v>122.6674091259366</v>
      </c>
      <c r="CP34" s="2">
        <f>AVERAGE(CP4:CP31)</f>
        <v>24.254608625977166</v>
      </c>
      <c r="CQ34" s="2">
        <f>AVERAGE(CQ4:CQ31)</f>
        <v>54.391532537243343</v>
      </c>
      <c r="CV34" t="s">
        <v>193</v>
      </c>
      <c r="CW34" s="2">
        <f>AVERAGE(CW4:CW31)</f>
        <v>-55.76661552807267</v>
      </c>
      <c r="CX34" s="2">
        <f>AVERAGE(CX4:CX31)</f>
        <v>-53.072158218251602</v>
      </c>
      <c r="DC34" t="s">
        <v>193</v>
      </c>
      <c r="DD34" s="2">
        <f>AVERAGE(DD4:DD31)</f>
        <v>399.39591407736435</v>
      </c>
      <c r="DE34" s="2">
        <f>AVERAGE(DE4:DE31)</f>
        <v>179.30330218497059</v>
      </c>
      <c r="DR34" t="s">
        <v>193</v>
      </c>
      <c r="DS34" s="2">
        <f>AVERAGE(DS4:DS31)</f>
        <v>-56.286893738264176</v>
      </c>
      <c r="DT34" s="2">
        <f>AVERAGE(DT4:DT31)</f>
        <v>77.79612776376409</v>
      </c>
      <c r="DU34" s="2">
        <f>AVERAGE(DU4:DU31)</f>
        <v>43.880677854795707</v>
      </c>
      <c r="DZ34" t="s">
        <v>193</v>
      </c>
      <c r="EA34" s="2">
        <f>AVERAGE(EA4:EA31)</f>
        <v>-41.400811361881438</v>
      </c>
      <c r="EB34" s="2">
        <f>AVERAGE(EB4:EB31)</f>
        <v>-41.229398705401742</v>
      </c>
      <c r="EF34" t="s">
        <v>193</v>
      </c>
      <c r="EG34" s="2">
        <f>AVERAGE(EG4:EG31)</f>
        <v>-25.743975890283174</v>
      </c>
      <c r="EH34" s="2">
        <f>AVERAGE(EH4:EH31)</f>
        <v>187.53540676332119</v>
      </c>
      <c r="EI34" s="2">
        <f>AVERAGE(EI4:EI31)</f>
        <v>133.39431249442086</v>
      </c>
      <c r="EN34" t="s">
        <v>193</v>
      </c>
      <c r="EO34" s="2">
        <f>AVERAGE(EO4:EO31)</f>
        <v>33.168623125397211</v>
      </c>
      <c r="EP34" s="2">
        <f>AVERAGE(EP4:EP31)</f>
        <v>57.319325631399018</v>
      </c>
      <c r="ES34" t="s">
        <v>193</v>
      </c>
      <c r="ET34" s="2">
        <f>AVERAGE(ET4:ET31)</f>
        <v>-54.940453890627225</v>
      </c>
      <c r="EU34" s="2">
        <f>AVERAGE(EU4:EU31)</f>
        <v>-52.392415966267748</v>
      </c>
      <c r="EX34" t="s">
        <v>193</v>
      </c>
      <c r="EY34" s="2">
        <f>AVERAGE(EY4:EY31)</f>
        <v>193.3752111557574</v>
      </c>
      <c r="EZ34" s="2">
        <f>AVERAGE(EZ4:EZ31)</f>
        <v>229.28575353725958</v>
      </c>
    </row>
    <row r="35" spans="1:156" x14ac:dyDescent="0.45">
      <c r="A35" s="89" t="s">
        <v>163</v>
      </c>
      <c r="B35" s="89"/>
      <c r="C35" s="89"/>
      <c r="D35" s="89"/>
      <c r="E35" s="89"/>
      <c r="F35" s="89"/>
      <c r="G35" s="89"/>
      <c r="H35" s="89"/>
      <c r="I35" s="89"/>
      <c r="T35" t="s">
        <v>194</v>
      </c>
      <c r="U35" s="2">
        <f>MIN(U4:U32)</f>
        <v>-10.615435954425392</v>
      </c>
      <c r="V35" s="2">
        <f>MIN(V4:V32)</f>
        <v>-54.475744134597953</v>
      </c>
      <c r="Z35" t="s">
        <v>194</v>
      </c>
      <c r="AA35" s="2">
        <f>MIN(AA4:AA31)</f>
        <v>-75.640285380537449</v>
      </c>
      <c r="AF35" t="s">
        <v>194</v>
      </c>
      <c r="AG35" s="2">
        <f>MIN(AG4:AG31)</f>
        <v>157.54710355872345</v>
      </c>
      <c r="AH35" s="2">
        <f>MIN(AH4:AH31)</f>
        <v>30.13843284911793</v>
      </c>
      <c r="AR35" t="s">
        <v>194</v>
      </c>
      <c r="AS35" s="2">
        <f>MIN(AS4:AS31)</f>
        <v>52.395527186764404</v>
      </c>
      <c r="AT35" s="2">
        <f>MIN(AT4:AT31)</f>
        <v>-20.653329814235864</v>
      </c>
      <c r="AU35" s="2">
        <f>MIN(AU4:AU31)</f>
        <v>151.89419106591788</v>
      </c>
      <c r="AZ35" t="s">
        <v>194</v>
      </c>
      <c r="BA35" s="2">
        <f>MIN(BA4:BA31)</f>
        <v>-13.313205495134513</v>
      </c>
      <c r="BB35" s="2">
        <f>MIN(BB4:BB31)</f>
        <v>175.19617303131903</v>
      </c>
      <c r="BG35" t="s">
        <v>194</v>
      </c>
      <c r="BH35" s="2">
        <f>MIN(BH4:BH31)</f>
        <v>30.64345808967029</v>
      </c>
      <c r="BI35" s="2">
        <f>MIN(BI4:BI31)</f>
        <v>-31.978821345164331</v>
      </c>
      <c r="BQ35" t="s">
        <v>194</v>
      </c>
      <c r="BR35" s="2">
        <f>MIN(BR4:BR31)</f>
        <v>10.792635398815509</v>
      </c>
      <c r="BS35" s="2">
        <f>MIN(BS4:BS31)</f>
        <v>-9.1500389729712772</v>
      </c>
      <c r="BW35" t="s">
        <v>194</v>
      </c>
      <c r="BX35" s="2">
        <f>MIN(BX4:BX31)</f>
        <v>-54.273595323404002</v>
      </c>
      <c r="CC35" t="s">
        <v>194</v>
      </c>
      <c r="CD35" s="2">
        <f>MIN(CD4:CD31)</f>
        <v>142.29465706391332</v>
      </c>
      <c r="CE35" s="2">
        <f>MIN(CE4:CE31)</f>
        <v>98.681618792408955</v>
      </c>
      <c r="CN35" t="s">
        <v>194</v>
      </c>
      <c r="CO35" s="2">
        <f>MIN(CO4:CO31)</f>
        <v>20.367250260418768</v>
      </c>
      <c r="CP35" s="2">
        <f>MIN(CP4:CP31)</f>
        <v>-28.001706388941937</v>
      </c>
      <c r="CQ35" s="2">
        <f>MIN(CQ4:CQ31)</f>
        <v>1.1094383237769514</v>
      </c>
      <c r="CV35" t="s">
        <v>194</v>
      </c>
      <c r="CW35" s="2">
        <f>MIN(CW4:CW31)</f>
        <v>-63.574578015725564</v>
      </c>
      <c r="CX35" s="2">
        <f>MIN(CX4:CX31)</f>
        <v>-60.862384156508284</v>
      </c>
      <c r="DC35" t="s">
        <v>194</v>
      </c>
      <c r="DD35" s="2">
        <f>MIN(DD4:DD31)</f>
        <v>230.44847170853271</v>
      </c>
      <c r="DE35" s="2">
        <f>MIN(DE4:DE31)</f>
        <v>97.659463333440925</v>
      </c>
      <c r="DR35" t="s">
        <v>194</v>
      </c>
      <c r="DS35" s="2">
        <f>MIN(DS4:DS31)</f>
        <v>-76.983025092631792</v>
      </c>
      <c r="DT35" s="2">
        <f>MIN(DT4:DT31)</f>
        <v>-19.952548900321911</v>
      </c>
      <c r="DU35" s="2">
        <f>MIN(DU4:DU31)</f>
        <v>-38.270477297393832</v>
      </c>
      <c r="DZ35" t="s">
        <v>194</v>
      </c>
      <c r="EA35" s="2">
        <f>MIN(EA4:EA31)</f>
        <v>-55.702327672522181</v>
      </c>
      <c r="EB35" s="2">
        <f>MIN(EB4:EB31)</f>
        <v>-55.574387747131929</v>
      </c>
      <c r="EF35" t="s">
        <v>194</v>
      </c>
      <c r="EG35" s="2">
        <f>MIN(EG4:EG31)</f>
        <v>-58.786438031199197</v>
      </c>
      <c r="EH35" s="2">
        <f>MIN(EH4:EH31)</f>
        <v>44.925228616028662</v>
      </c>
      <c r="EI35" s="2">
        <f>MIN(EI4:EI31)</f>
        <v>19.954946792372759</v>
      </c>
      <c r="EN35" t="s">
        <v>194</v>
      </c>
      <c r="EO35" s="2">
        <f>MIN(EO4:EO31)</f>
        <v>-25.89539960605018</v>
      </c>
      <c r="EP35" s="2">
        <f>MIN(EP4:EP31)</f>
        <v>-7.5919410767914295</v>
      </c>
      <c r="ES35" t="s">
        <v>194</v>
      </c>
      <c r="ET35" s="2">
        <f>MIN(ET4:ET31)</f>
        <v>-63.116103902191433</v>
      </c>
      <c r="EU35" s="2">
        <f>MIN(EU4:EU31)</f>
        <v>-60.500082362532332</v>
      </c>
      <c r="EX35" t="s">
        <v>194</v>
      </c>
      <c r="EY35" s="2">
        <f>MIN(EY4:EY31)</f>
        <v>100.91315786553446</v>
      </c>
      <c r="EZ35" s="2">
        <f>MIN(EZ4:EZ31)</f>
        <v>133.94494077515455</v>
      </c>
    </row>
    <row r="36" spans="1:156" x14ac:dyDescent="0.45">
      <c r="T36" t="s">
        <v>195</v>
      </c>
      <c r="U36" s="2">
        <f>MAX(U4:U32)</f>
        <v>81.725955848627024</v>
      </c>
      <c r="V36" s="2">
        <f>MAX(V4:V32)</f>
        <v>-14.620006380432818</v>
      </c>
      <c r="Z36" t="s">
        <v>195</v>
      </c>
      <c r="AA36" s="2">
        <f>MAX(AA4:AA31)</f>
        <v>-53.95024253889062</v>
      </c>
      <c r="AF36" t="s">
        <v>195</v>
      </c>
      <c r="AG36" s="2">
        <f>MAX(AG4:AG31)</f>
        <v>384.45962820982186</v>
      </c>
      <c r="AH36" s="2">
        <f>MAX(AH4:AH31)</f>
        <v>131.54941476032323</v>
      </c>
      <c r="AR36" t="s">
        <v>195</v>
      </c>
      <c r="AS36" s="2">
        <f>MAX(AS4:AS31)</f>
        <v>889.08318872515304</v>
      </c>
      <c r="AT36" s="2">
        <f>MAX(AT4:AT31)</f>
        <v>399.78327987195064</v>
      </c>
      <c r="AU36" s="2">
        <f>MAX(AU4:AU31)</f>
        <v>1486.6135868950812</v>
      </c>
      <c r="AZ36" t="s">
        <v>195</v>
      </c>
      <c r="BA36" s="2">
        <f>MAX(BA4:BA31)</f>
        <v>37.474869541334797</v>
      </c>
      <c r="BB36" s="2">
        <f>MAX(BB4:BB31)</f>
        <v>336.42815727407873</v>
      </c>
      <c r="BG36" t="s">
        <v>195</v>
      </c>
      <c r="BH36" s="2">
        <f>MAX(BH4:BH31)</f>
        <v>837.48670650423151</v>
      </c>
      <c r="BI36" s="2">
        <f>MAX(BI4:BI31)</f>
        <v>373.71160116162463</v>
      </c>
      <c r="BQ36" t="s">
        <v>195</v>
      </c>
      <c r="BR36" s="2">
        <f>MAX(BR4:BR31)</f>
        <v>249.77419941266581</v>
      </c>
      <c r="BS36" s="2">
        <f>MAX(BS4:BS31)</f>
        <v>186.81484351838597</v>
      </c>
      <c r="BW36" t="s">
        <v>195</v>
      </c>
      <c r="BX36" s="2">
        <f>MAX(BX4:BX31)</f>
        <v>-23.478378303580527</v>
      </c>
      <c r="CC36" t="s">
        <v>195</v>
      </c>
      <c r="CD36" s="2">
        <f>MAX(CD4:CD31)</f>
        <v>387.23687396259947</v>
      </c>
      <c r="CE36" s="2">
        <f>MAX(CE4:CE31)</f>
        <v>299.5342366493316</v>
      </c>
      <c r="CN36" t="s">
        <v>195</v>
      </c>
      <c r="CO36" s="2">
        <f>MAX(CO4:CO31)</f>
        <v>215.09552981701071</v>
      </c>
      <c r="CP36" s="2">
        <f>MAX(CP4:CP31)</f>
        <v>76.602266678208579</v>
      </c>
      <c r="CQ36" s="2">
        <f>MAX(CQ4:CQ31)</f>
        <v>107.14383770113052</v>
      </c>
      <c r="CV36" t="s">
        <v>195</v>
      </c>
      <c r="CW36" s="2">
        <f>MAX(CW4:CW31)</f>
        <v>-48.304227632906709</v>
      </c>
      <c r="CX36" s="2">
        <f>MAX(CX4:CX31)</f>
        <v>-45.571862179310685</v>
      </c>
      <c r="DC36" t="s">
        <v>195</v>
      </c>
      <c r="DD36" s="2">
        <f>MAX(DD4:DD31)</f>
        <v>567.6954879101504</v>
      </c>
      <c r="DE36" s="2">
        <f>MAX(DE4:DE31)</f>
        <v>274.22472062432644</v>
      </c>
      <c r="DR36" t="s">
        <v>195</v>
      </c>
      <c r="DS36" s="2">
        <f>MAX(DS4:DS31)</f>
        <v>-12.163828558123541</v>
      </c>
      <c r="DT36" s="2">
        <f>MAX(DT4:DT31)</f>
        <v>259.3136551573981</v>
      </c>
      <c r="DU36" s="2">
        <f>MAX(DU4:DU31)</f>
        <v>188.03306679244034</v>
      </c>
      <c r="DZ36" t="s">
        <v>195</v>
      </c>
      <c r="EA36" s="2">
        <f>MAX(EA4:EA31)</f>
        <v>-21.833109196086962</v>
      </c>
      <c r="EB36" s="2">
        <f>MAX(EB4:EB31)</f>
        <v>-21.606213550427054</v>
      </c>
      <c r="EF36" t="s">
        <v>195</v>
      </c>
      <c r="EG36" s="2">
        <f>MAX(EG4:EG31)</f>
        <v>41.704626468693633</v>
      </c>
      <c r="EH36" s="2">
        <f>MAX(EH4:EH31)</f>
        <v>477.99695463975274</v>
      </c>
      <c r="EI36" s="2">
        <f>MAX(EI4:EI31)</f>
        <v>363.33400652043434</v>
      </c>
      <c r="EN36" t="s">
        <v>195</v>
      </c>
      <c r="EO36" s="2">
        <f>MAX(EO4:EO31)</f>
        <v>61.910706412802476</v>
      </c>
      <c r="EP36" s="2">
        <f>MAX(EP4:EP31)</f>
        <v>94.924651694176958</v>
      </c>
      <c r="ES36" t="s">
        <v>195</v>
      </c>
      <c r="ET36" s="2">
        <f>MAX(ET4:ET31)</f>
        <v>-46.161945053194735</v>
      </c>
      <c r="EU36" s="2">
        <f>MAX(EU4:EU31)</f>
        <v>-43.543916904578431</v>
      </c>
      <c r="EX36" t="s">
        <v>195</v>
      </c>
      <c r="EY36" s="2">
        <f>MAX(EY4:EY31)</f>
        <v>260.46568195731606</v>
      </c>
      <c r="EZ36" s="2">
        <f>MAX(EZ4:EZ31)</f>
        <v>293.1664325699453</v>
      </c>
    </row>
    <row r="38" spans="1:156" x14ac:dyDescent="0.45">
      <c r="BD38" s="88" t="s">
        <v>312</v>
      </c>
      <c r="BE38" s="88"/>
      <c r="BF38" s="88"/>
      <c r="BG38" s="88"/>
      <c r="BH38" s="88"/>
      <c r="BI38" s="88"/>
    </row>
    <row r="39" spans="1:156" x14ac:dyDescent="0.45">
      <c r="AP39" s="2"/>
      <c r="AR39" s="2"/>
      <c r="BD39" s="88"/>
      <c r="BE39" s="88"/>
      <c r="BF39" s="88"/>
      <c r="BG39" s="88"/>
      <c r="BH39" s="88"/>
      <c r="BI39" s="88"/>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row>
    <row r="41" spans="1:156" x14ac:dyDescent="0.45">
      <c r="BL41" s="91" t="s">
        <v>162</v>
      </c>
      <c r="BM41" s="91"/>
      <c r="BN41" s="91"/>
      <c r="BO41" s="91"/>
      <c r="BP41" s="91"/>
      <c r="BQ41" s="91"/>
      <c r="BR41" s="91"/>
      <c r="BS41" s="91"/>
      <c r="BT41" s="91"/>
      <c r="BU41" s="91"/>
      <c r="BV41" s="91"/>
      <c r="BW41" s="91"/>
      <c r="BX41" s="91"/>
      <c r="BY41" s="91"/>
      <c r="BZ41" s="91"/>
      <c r="CA41" s="91"/>
      <c r="CB41" s="91"/>
      <c r="CC41" s="91"/>
      <c r="CD41" s="91"/>
      <c r="CE41" s="91"/>
      <c r="CF41" s="91"/>
      <c r="CG41" s="91"/>
      <c r="CH41" s="91"/>
      <c r="CI41" s="91"/>
      <c r="CJ41" s="91"/>
      <c r="CK41" s="91"/>
      <c r="CL41" s="91"/>
      <c r="CM41" s="91"/>
      <c r="CN41" s="91"/>
      <c r="CO41" s="91"/>
      <c r="CP41" s="91"/>
      <c r="CQ41" s="91"/>
      <c r="CR41" s="91"/>
      <c r="CS41" s="91"/>
      <c r="CT41" s="91"/>
      <c r="CU41" s="91"/>
      <c r="CV41" s="91"/>
      <c r="CW41" s="91"/>
      <c r="CX41" s="91"/>
      <c r="CY41" s="91"/>
      <c r="CZ41" s="91"/>
      <c r="DA41" s="91"/>
      <c r="DB41" s="91"/>
      <c r="DC41" s="91"/>
      <c r="DD41" s="91"/>
      <c r="DE41" s="91"/>
      <c r="DF41" s="91"/>
    </row>
    <row r="42" spans="1:156" x14ac:dyDescent="0.45">
      <c r="BL42" s="91"/>
      <c r="BM42" s="91"/>
      <c r="BN42" s="91"/>
      <c r="BO42" s="91"/>
      <c r="BP42" s="91"/>
      <c r="BQ42" s="91"/>
      <c r="BR42" s="91"/>
      <c r="BS42" s="91"/>
      <c r="BT42" s="91"/>
      <c r="BU42" s="91"/>
      <c r="BV42" s="91"/>
      <c r="BW42" s="91"/>
      <c r="BX42" s="91"/>
      <c r="BY42" s="91"/>
      <c r="BZ42" s="91"/>
      <c r="CA42" s="91"/>
      <c r="CB42" s="91"/>
      <c r="CC42" s="91"/>
      <c r="CD42" s="91"/>
      <c r="CE42" s="91"/>
      <c r="CF42" s="91"/>
      <c r="CG42" s="91"/>
      <c r="CH42" s="91"/>
      <c r="CI42" s="91"/>
      <c r="CJ42" s="91"/>
      <c r="CK42" s="91"/>
      <c r="CL42" s="91"/>
      <c r="CM42" s="91"/>
      <c r="CN42" s="91"/>
      <c r="CO42" s="91"/>
      <c r="CP42" s="91"/>
      <c r="CQ42" s="91"/>
      <c r="CR42" s="91"/>
      <c r="CS42" s="91"/>
      <c r="CT42" s="91"/>
      <c r="CU42" s="91"/>
      <c r="CV42" s="91"/>
      <c r="CW42" s="91"/>
      <c r="CX42" s="91"/>
      <c r="CY42" s="91"/>
      <c r="CZ42" s="91"/>
      <c r="DA42" s="91"/>
      <c r="DB42" s="91"/>
      <c r="DC42" s="91"/>
      <c r="DD42" s="91"/>
      <c r="DE42" s="91"/>
      <c r="DF42" s="91"/>
    </row>
  </sheetData>
  <mergeCells count="31">
    <mergeCell ref="BL1:CE1"/>
    <mergeCell ref="BL41:DF42"/>
    <mergeCell ref="BL2:BS2"/>
    <mergeCell ref="BT2:BX2"/>
    <mergeCell ref="BY2:CE2"/>
    <mergeCell ref="CH1:DE1"/>
    <mergeCell ref="CH2:CP2"/>
    <mergeCell ref="CR2:CW2"/>
    <mergeCell ref="CY2:DE2"/>
    <mergeCell ref="BD38:BI39"/>
    <mergeCell ref="A35:I35"/>
    <mergeCell ref="B1:K1"/>
    <mergeCell ref="B2:F2"/>
    <mergeCell ref="G2:H2"/>
    <mergeCell ref="I2:K2"/>
    <mergeCell ref="AB2:AH2"/>
    <mergeCell ref="AL1:BI1"/>
    <mergeCell ref="AL2:AT2"/>
    <mergeCell ref="AV2:BA2"/>
    <mergeCell ref="O1:AH1"/>
    <mergeCell ref="BC2:BI2"/>
    <mergeCell ref="O2:V2"/>
    <mergeCell ref="W2:AA2"/>
    <mergeCell ref="DI1:EI1"/>
    <mergeCell ref="DI2:DU2"/>
    <mergeCell ref="DV2:EB2"/>
    <mergeCell ref="EC2:EI2"/>
    <mergeCell ref="EL1:EZ1"/>
    <mergeCell ref="EL2:EP2"/>
    <mergeCell ref="EQ2:EU2"/>
    <mergeCell ref="EV2:EZ2"/>
  </mergeCells>
  <pageMargins left="0.7" right="0.7" top="0.75" bottom="0.75" header="0.51180555555555496" footer="0.51180555555555496"/>
  <pageSetup scale="17" firstPageNumber="0" orientation="portrait" r:id="rId1"/>
  <ignoredErrors>
    <ignoredError sqref="CJ28 CJ4:CJ25 DW28 DJ28" 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6"/>
  <sheetViews>
    <sheetView zoomScaleNormal="100" workbookViewId="0">
      <selection activeCell="B6" activeCellId="1" sqref="C2:C6 B2:B6"/>
    </sheetView>
  </sheetViews>
  <sheetFormatPr defaultRowHeight="14.25" x14ac:dyDescent="0.45"/>
  <cols>
    <col min="1" max="1" width="8.3984375"/>
    <col min="2" max="2" width="25.1328125"/>
    <col min="3" max="3" width="28.86328125"/>
    <col min="4" max="1025" width="8.3984375"/>
  </cols>
  <sheetData>
    <row r="1" spans="1:7" ht="15" customHeight="1" x14ac:dyDescent="0.45">
      <c r="A1" s="94" t="s">
        <v>113</v>
      </c>
      <c r="B1" s="94"/>
      <c r="C1" s="94"/>
      <c r="D1" s="25"/>
      <c r="E1" s="25"/>
      <c r="F1" s="25"/>
      <c r="G1" s="25"/>
    </row>
    <row r="2" spans="1:7" x14ac:dyDescent="0.45">
      <c r="B2" t="s">
        <v>114</v>
      </c>
      <c r="C2" t="s">
        <v>115</v>
      </c>
    </row>
    <row r="3" spans="1:7" x14ac:dyDescent="0.45">
      <c r="A3">
        <v>2003</v>
      </c>
      <c r="B3" s="2">
        <v>0.3523693</v>
      </c>
      <c r="C3" s="2">
        <v>0.77293948999999995</v>
      </c>
    </row>
    <row r="4" spans="1:7" x14ac:dyDescent="0.45">
      <c r="A4">
        <v>2006</v>
      </c>
      <c r="B4" s="2">
        <v>0.30860388</v>
      </c>
      <c r="C4" s="2">
        <v>0.73127003000000002</v>
      </c>
    </row>
    <row r="5" spans="1:7" x14ac:dyDescent="0.45">
      <c r="A5">
        <v>2009</v>
      </c>
      <c r="B5" s="2">
        <v>0.27821686000000001</v>
      </c>
      <c r="C5" s="2">
        <v>0.62780393000000001</v>
      </c>
    </row>
    <row r="6" spans="1:7" x14ac:dyDescent="0.45">
      <c r="A6">
        <v>2012</v>
      </c>
      <c r="B6" s="2">
        <v>0.45948441000000001</v>
      </c>
      <c r="C6" s="2">
        <v>0.63265492000000001</v>
      </c>
    </row>
  </sheetData>
  <mergeCells count="1">
    <mergeCell ref="A1:C1"/>
  </mergeCells>
  <pageMargins left="0.7" right="0.7" top="0.75" bottom="0.75" header="0.51180555555555496" footer="0.51180555555555496"/>
  <pageSetup firstPageNumber="0" orientation="portrait" horizontalDpi="4294967295" verticalDpi="4294967295"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S33"/>
  <sheetViews>
    <sheetView zoomScaleNormal="100" workbookViewId="0">
      <selection activeCell="S7" sqref="A7:S7"/>
    </sheetView>
  </sheetViews>
  <sheetFormatPr defaultRowHeight="14.25" x14ac:dyDescent="0.45"/>
  <cols>
    <col min="20" max="1025" width="8.3984375"/>
  </cols>
  <sheetData>
    <row r="1" spans="1:19" ht="18" x14ac:dyDescent="0.55000000000000004">
      <c r="B1" s="83" t="s">
        <v>116</v>
      </c>
      <c r="C1" s="83"/>
      <c r="D1" s="83"/>
      <c r="E1" s="83"/>
      <c r="F1" s="83"/>
      <c r="G1" s="83"/>
      <c r="H1" s="83"/>
      <c r="I1" s="83"/>
      <c r="J1" s="83"/>
      <c r="K1" s="83"/>
      <c r="L1" s="83"/>
      <c r="M1" s="83"/>
      <c r="N1" s="83"/>
      <c r="O1" s="83"/>
      <c r="P1" s="83"/>
      <c r="Q1" s="83"/>
      <c r="R1" s="83"/>
      <c r="S1" s="83"/>
    </row>
    <row r="2" spans="1:19" x14ac:dyDescent="0.45">
      <c r="B2" s="92" t="s">
        <v>12</v>
      </c>
      <c r="C2" s="92"/>
      <c r="D2" s="92"/>
      <c r="E2" s="92" t="s">
        <v>13</v>
      </c>
      <c r="F2" s="92"/>
      <c r="G2" s="92"/>
      <c r="H2" s="92" t="s">
        <v>14</v>
      </c>
      <c r="I2" s="92"/>
      <c r="J2" s="92"/>
      <c r="K2" s="92" t="s">
        <v>15</v>
      </c>
      <c r="L2" s="92"/>
      <c r="M2" s="92"/>
      <c r="N2" s="92" t="s">
        <v>16</v>
      </c>
      <c r="O2" s="92"/>
      <c r="P2" s="92"/>
      <c r="Q2" s="92" t="s">
        <v>17</v>
      </c>
      <c r="R2" s="92"/>
      <c r="S2" s="92"/>
    </row>
    <row r="3" spans="1:19" ht="28.5" x14ac:dyDescent="0.45">
      <c r="A3" t="s">
        <v>2</v>
      </c>
      <c r="B3" s="4" t="s">
        <v>3</v>
      </c>
      <c r="C3" s="4" t="s">
        <v>4</v>
      </c>
      <c r="D3" s="25" t="s">
        <v>5</v>
      </c>
      <c r="E3" s="4" t="s">
        <v>3</v>
      </c>
      <c r="F3" s="4" t="s">
        <v>4</v>
      </c>
      <c r="G3" s="25" t="s">
        <v>5</v>
      </c>
      <c r="H3" s="4" t="s">
        <v>3</v>
      </c>
      <c r="I3" s="4" t="s">
        <v>4</v>
      </c>
      <c r="J3" s="25" t="s">
        <v>5</v>
      </c>
      <c r="K3" s="4" t="s">
        <v>3</v>
      </c>
      <c r="L3" s="4" t="s">
        <v>4</v>
      </c>
      <c r="M3" s="25" t="s">
        <v>5</v>
      </c>
      <c r="N3" s="4" t="s">
        <v>3</v>
      </c>
      <c r="O3" s="4" t="s">
        <v>4</v>
      </c>
      <c r="P3" s="25" t="s">
        <v>5</v>
      </c>
      <c r="Q3" s="4" t="s">
        <v>3</v>
      </c>
      <c r="R3" s="4" t="s">
        <v>4</v>
      </c>
      <c r="S3" s="25" t="s">
        <v>5</v>
      </c>
    </row>
    <row r="4" spans="1:19" x14ac:dyDescent="0.45">
      <c r="A4">
        <v>1988</v>
      </c>
      <c r="B4" s="2">
        <v>11484.412</v>
      </c>
      <c r="C4" s="2">
        <v>3609.95327</v>
      </c>
      <c r="D4" s="2">
        <f>100*(C4-B4)/B4</f>
        <v>-68.56649456672227</v>
      </c>
      <c r="E4" s="2">
        <v>901</v>
      </c>
      <c r="F4" s="2">
        <v>1026.4791</v>
      </c>
      <c r="G4" s="2">
        <f>100*(F4-E4)/E4</f>
        <v>13.926648168701444</v>
      </c>
      <c r="H4" s="2">
        <v>633.26300000000003</v>
      </c>
      <c r="I4" s="2">
        <v>631.05690000000004</v>
      </c>
      <c r="J4" s="2">
        <f>100*(I4-H4)/H4</f>
        <v>-0.34837026638221275</v>
      </c>
      <c r="K4" s="3"/>
      <c r="L4" s="2">
        <v>880.2243052</v>
      </c>
      <c r="M4" s="3"/>
      <c r="N4" s="3"/>
      <c r="O4" s="2">
        <f>L4+I4+F4+C4</f>
        <v>6147.7135751999995</v>
      </c>
      <c r="P4" s="3"/>
      <c r="Q4" s="2">
        <f>H4+E4+B4</f>
        <v>13018.674999999999</v>
      </c>
      <c r="R4" s="2">
        <f>I4+F4+C4</f>
        <v>5267.48927</v>
      </c>
      <c r="S4" s="2">
        <f>100*(R4-Q4)/Q4</f>
        <v>-59.538975586993303</v>
      </c>
    </row>
    <row r="5" spans="1:19" x14ac:dyDescent="0.45">
      <c r="A5">
        <v>1989</v>
      </c>
      <c r="B5" s="2">
        <v>12046.880999999999</v>
      </c>
      <c r="C5" s="2"/>
      <c r="D5" s="2"/>
      <c r="E5" s="2">
        <v>898</v>
      </c>
      <c r="F5" s="2"/>
      <c r="G5" s="2"/>
      <c r="H5" s="2">
        <v>718.99</v>
      </c>
      <c r="I5" s="2"/>
      <c r="J5" s="2"/>
      <c r="K5" s="3"/>
      <c r="L5" s="2"/>
      <c r="M5" s="2"/>
      <c r="N5" s="3"/>
      <c r="O5" s="2"/>
      <c r="P5" s="2"/>
      <c r="Q5" s="2">
        <f t="shared" ref="Q5:Q29" si="0">H5+E5+B5</f>
        <v>13663.870999999999</v>
      </c>
      <c r="R5" s="2"/>
      <c r="S5" s="2"/>
    </row>
    <row r="6" spans="1:19" x14ac:dyDescent="0.45">
      <c r="A6">
        <v>1990</v>
      </c>
      <c r="B6" s="2">
        <v>12218.285</v>
      </c>
      <c r="C6" s="2"/>
      <c r="D6" s="2"/>
      <c r="E6" s="2">
        <v>853</v>
      </c>
      <c r="F6" s="2"/>
      <c r="G6" s="2"/>
      <c r="H6" s="2">
        <v>774.28</v>
      </c>
      <c r="I6" s="2"/>
      <c r="J6" s="2"/>
      <c r="K6" s="2">
        <v>1007.038</v>
      </c>
      <c r="L6" s="2"/>
      <c r="M6" s="2"/>
      <c r="N6" s="2">
        <f t="shared" ref="N6:N29" si="1">K6+H6+E6+B6</f>
        <v>14852.602999999999</v>
      </c>
      <c r="O6" s="2"/>
      <c r="P6" s="2"/>
      <c r="Q6" s="2">
        <f t="shared" si="0"/>
        <v>13845.565000000001</v>
      </c>
      <c r="R6" s="2"/>
      <c r="S6" s="2"/>
    </row>
    <row r="7" spans="1:19" x14ac:dyDescent="0.45">
      <c r="A7">
        <v>1991</v>
      </c>
      <c r="B7" s="2">
        <v>12484.611999999999</v>
      </c>
      <c r="C7" s="2">
        <v>4167.9849999999997</v>
      </c>
      <c r="D7" s="2">
        <f>100*(C7-B7)/B7</f>
        <v>-66.615021756382987</v>
      </c>
      <c r="E7" s="2">
        <v>856</v>
      </c>
      <c r="F7" s="2">
        <v>873.73990000000003</v>
      </c>
      <c r="G7" s="2">
        <f>100*(F7-E7)/E7</f>
        <v>2.0724182242990694</v>
      </c>
      <c r="H7" s="2">
        <v>849.42399999999998</v>
      </c>
      <c r="I7" s="2">
        <v>753.19749300000001</v>
      </c>
      <c r="J7" s="2">
        <f>100*(I7-H7)/H7</f>
        <v>-11.328442214959781</v>
      </c>
      <c r="K7" s="2">
        <v>975.53399999999999</v>
      </c>
      <c r="L7" s="2">
        <v>980.42813000000001</v>
      </c>
      <c r="M7" s="2">
        <f>100*(L7-K7)/K7</f>
        <v>0.50168728101737292</v>
      </c>
      <c r="N7" s="2">
        <f t="shared" si="1"/>
        <v>15165.57</v>
      </c>
      <c r="O7" s="2">
        <f>L7+I7+F7+C7</f>
        <v>6775.3505229999992</v>
      </c>
      <c r="P7" s="2">
        <f>100*(O7-N7)/N7</f>
        <v>-55.324128779861226</v>
      </c>
      <c r="Q7" s="2">
        <f t="shared" si="0"/>
        <v>14190.036</v>
      </c>
      <c r="R7" s="2">
        <f>I7+F7+C7</f>
        <v>5794.9223929999998</v>
      </c>
      <c r="S7" s="2">
        <f>100*(R7-Q7)/Q7</f>
        <v>-59.162031773562795</v>
      </c>
    </row>
    <row r="8" spans="1:19" x14ac:dyDescent="0.45">
      <c r="A8">
        <v>1992</v>
      </c>
      <c r="B8" s="2">
        <v>12616.048000000001</v>
      </c>
      <c r="C8" s="2"/>
      <c r="D8" s="2"/>
      <c r="E8" s="2">
        <v>856</v>
      </c>
      <c r="F8" s="2"/>
      <c r="G8" s="2"/>
      <c r="H8" s="2">
        <v>941.245</v>
      </c>
      <c r="I8" s="2"/>
      <c r="J8" s="2"/>
      <c r="K8" s="2">
        <v>970.63499999999999</v>
      </c>
      <c r="L8" s="2"/>
      <c r="M8" s="2"/>
      <c r="N8" s="2">
        <f t="shared" si="1"/>
        <v>15383.928</v>
      </c>
      <c r="O8" s="2"/>
      <c r="P8" s="2"/>
      <c r="Q8" s="2">
        <f t="shared" si="0"/>
        <v>14413.293000000001</v>
      </c>
      <c r="R8" s="2"/>
      <c r="S8" s="2"/>
    </row>
    <row r="9" spans="1:19" x14ac:dyDescent="0.45">
      <c r="A9">
        <v>1993</v>
      </c>
      <c r="B9" s="2">
        <v>12771.526</v>
      </c>
      <c r="C9" s="2"/>
      <c r="D9" s="2"/>
      <c r="E9" s="2">
        <v>870</v>
      </c>
      <c r="F9" s="2"/>
      <c r="G9" s="2"/>
      <c r="H9" s="2">
        <v>1015.324</v>
      </c>
      <c r="I9" s="2"/>
      <c r="J9" s="2"/>
      <c r="K9" s="2">
        <v>987.27300000000002</v>
      </c>
      <c r="L9" s="2"/>
      <c r="M9" s="2"/>
      <c r="N9" s="2">
        <f t="shared" si="1"/>
        <v>15644.123</v>
      </c>
      <c r="O9" s="2"/>
      <c r="P9" s="2"/>
      <c r="Q9" s="2">
        <f t="shared" si="0"/>
        <v>14656.85</v>
      </c>
      <c r="R9" s="2"/>
      <c r="S9" s="2"/>
    </row>
    <row r="10" spans="1:19" x14ac:dyDescent="0.45">
      <c r="A10">
        <v>1994</v>
      </c>
      <c r="B10" s="2">
        <v>12944.352000000001</v>
      </c>
      <c r="C10" s="2">
        <v>4169.9037900000003</v>
      </c>
      <c r="D10" s="2">
        <f>100*(C10-B10)/B10</f>
        <v>-67.785920917478137</v>
      </c>
      <c r="E10" s="2">
        <v>890</v>
      </c>
      <c r="F10" s="2">
        <v>1129.9852800000001</v>
      </c>
      <c r="G10" s="2">
        <f>100*(F10-E10)/E10</f>
        <v>26.964638202247201</v>
      </c>
      <c r="H10" s="2">
        <v>1113.1869999999999</v>
      </c>
      <c r="I10" s="2">
        <v>998.89915059999998</v>
      </c>
      <c r="J10" s="2">
        <f>100*(I10-H10)/H10</f>
        <v>-10.266725123451847</v>
      </c>
      <c r="K10" s="2">
        <v>1139.8219999999999</v>
      </c>
      <c r="L10" s="2">
        <v>764.12961099999995</v>
      </c>
      <c r="M10" s="2">
        <f>100*(L10-K10)/K10</f>
        <v>-32.960619201945569</v>
      </c>
      <c r="N10" s="2">
        <f t="shared" si="1"/>
        <v>16087.361000000001</v>
      </c>
      <c r="O10" s="2">
        <f>L10+I10+F10+C10</f>
        <v>7062.9178316000007</v>
      </c>
      <c r="P10" s="2">
        <f>100*(O10-N10)/N10</f>
        <v>-56.096479518300114</v>
      </c>
      <c r="Q10" s="2">
        <f t="shared" si="0"/>
        <v>14947.539000000001</v>
      </c>
      <c r="R10" s="2">
        <f>I10+F10+C10</f>
        <v>6298.7882206000004</v>
      </c>
      <c r="S10" s="2">
        <f>100*(R10-Q10)/Q10</f>
        <v>-57.86070054341387</v>
      </c>
    </row>
    <row r="11" spans="1:19" x14ac:dyDescent="0.45">
      <c r="A11">
        <v>1995</v>
      </c>
      <c r="B11" s="2">
        <v>12939.537</v>
      </c>
      <c r="C11" s="2"/>
      <c r="D11" s="2"/>
      <c r="E11" s="2">
        <v>956</v>
      </c>
      <c r="F11" s="2"/>
      <c r="G11" s="2"/>
      <c r="H11" s="2">
        <v>1185.8009999999999</v>
      </c>
      <c r="I11" s="2"/>
      <c r="J11" s="2"/>
      <c r="K11" s="2">
        <v>1133.646</v>
      </c>
      <c r="L11" s="2"/>
      <c r="M11" s="2"/>
      <c r="N11" s="2">
        <f t="shared" si="1"/>
        <v>16214.984</v>
      </c>
      <c r="O11" s="2"/>
      <c r="P11" s="2"/>
      <c r="Q11" s="2">
        <f t="shared" si="0"/>
        <v>15081.338</v>
      </c>
      <c r="R11" s="2"/>
      <c r="S11" s="2"/>
    </row>
    <row r="12" spans="1:19" x14ac:dyDescent="0.45">
      <c r="A12">
        <v>1996</v>
      </c>
      <c r="B12" s="2">
        <v>13251.367</v>
      </c>
      <c r="C12" s="2"/>
      <c r="D12" s="2"/>
      <c r="E12" s="2">
        <v>1006</v>
      </c>
      <c r="F12" s="2"/>
      <c r="G12" s="2"/>
      <c r="H12" s="2">
        <v>1296.501</v>
      </c>
      <c r="I12" s="2"/>
      <c r="J12" s="2"/>
      <c r="K12" s="2">
        <v>1157.9459999999999</v>
      </c>
      <c r="L12" s="2"/>
      <c r="M12" s="2"/>
      <c r="N12" s="2">
        <f t="shared" si="1"/>
        <v>16711.813999999998</v>
      </c>
      <c r="O12" s="2"/>
      <c r="P12" s="2"/>
      <c r="Q12" s="2">
        <f t="shared" si="0"/>
        <v>15553.868</v>
      </c>
      <c r="R12" s="2"/>
      <c r="S12" s="2"/>
    </row>
    <row r="13" spans="1:19" x14ac:dyDescent="0.45">
      <c r="A13">
        <v>1997</v>
      </c>
      <c r="B13" s="2">
        <v>13424.129000000001</v>
      </c>
      <c r="C13" s="2">
        <v>3888.9059999999999</v>
      </c>
      <c r="D13" s="2">
        <f>100*(C13-B13)/B13</f>
        <v>-71.030478029524303</v>
      </c>
      <c r="E13" s="2">
        <v>1083</v>
      </c>
      <c r="F13" s="2">
        <v>1134.952</v>
      </c>
      <c r="G13" s="2">
        <f>100*(F13-E13)/E13</f>
        <v>4.7970452446906737</v>
      </c>
      <c r="H13" s="2">
        <v>1400.078</v>
      </c>
      <c r="I13" s="2">
        <v>1224.77</v>
      </c>
      <c r="J13" s="2">
        <f>100*(I13-H13)/H13</f>
        <v>-12.52130238458143</v>
      </c>
      <c r="K13" s="2">
        <v>1117.7260000000001</v>
      </c>
      <c r="L13" s="2">
        <v>1008.8006493</v>
      </c>
      <c r="M13" s="2">
        <f>100*(L13-K13)/K13</f>
        <v>-9.7452641076614555</v>
      </c>
      <c r="N13" s="2">
        <f t="shared" si="1"/>
        <v>17024.933000000001</v>
      </c>
      <c r="O13" s="2">
        <f>L13+I13+F13+C13</f>
        <v>7257.4286493</v>
      </c>
      <c r="P13" s="2">
        <f>100*(O13-N13)/N13</f>
        <v>-57.371763816632942</v>
      </c>
      <c r="Q13" s="2">
        <f t="shared" si="0"/>
        <v>15907.207</v>
      </c>
      <c r="R13" s="2">
        <f>I13+F13+C13</f>
        <v>6248.6279999999997</v>
      </c>
      <c r="S13" s="2">
        <f>100*(R13-Q13)/Q13</f>
        <v>-60.71825808264142</v>
      </c>
    </row>
    <row r="14" spans="1:19" x14ac:dyDescent="0.45">
      <c r="A14">
        <v>1998</v>
      </c>
      <c r="B14" s="2">
        <v>13753.581</v>
      </c>
      <c r="C14" s="2"/>
      <c r="D14" s="2"/>
      <c r="E14" s="2">
        <v>1129</v>
      </c>
      <c r="F14" s="2"/>
      <c r="G14" s="2"/>
      <c r="H14" s="2">
        <v>1512.587</v>
      </c>
      <c r="I14" s="2"/>
      <c r="J14" s="2"/>
      <c r="K14" s="2">
        <v>1122.162</v>
      </c>
      <c r="L14" s="2"/>
      <c r="M14" s="2"/>
      <c r="N14" s="2">
        <f t="shared" si="1"/>
        <v>17517.330000000002</v>
      </c>
      <c r="O14" s="2"/>
      <c r="P14" s="2"/>
      <c r="Q14" s="2">
        <f t="shared" si="0"/>
        <v>16395.168000000001</v>
      </c>
      <c r="R14" s="2"/>
      <c r="S14" s="2"/>
    </row>
    <row r="15" spans="1:19" x14ac:dyDescent="0.45">
      <c r="A15">
        <v>1999</v>
      </c>
      <c r="B15" s="2">
        <v>13884.871999999999</v>
      </c>
      <c r="C15" s="2"/>
      <c r="D15" s="2"/>
      <c r="E15" s="2">
        <v>1190</v>
      </c>
      <c r="F15" s="2"/>
      <c r="G15" s="2"/>
      <c r="H15" s="2">
        <v>1603.066</v>
      </c>
      <c r="I15" s="2"/>
      <c r="J15" s="2"/>
      <c r="K15" s="2">
        <v>1084.4259999999999</v>
      </c>
      <c r="L15" s="2"/>
      <c r="M15" s="2"/>
      <c r="N15" s="2">
        <f t="shared" si="1"/>
        <v>17762.364000000001</v>
      </c>
      <c r="O15" s="2"/>
      <c r="P15" s="2"/>
      <c r="Q15" s="2">
        <f t="shared" si="0"/>
        <v>16677.937999999998</v>
      </c>
      <c r="R15" s="2"/>
      <c r="S15" s="2"/>
    </row>
    <row r="16" spans="1:19" x14ac:dyDescent="0.45">
      <c r="A16">
        <v>2000</v>
      </c>
      <c r="B16" s="2">
        <v>14010.924999999999</v>
      </c>
      <c r="C16" s="2">
        <v>3536.6480000000001</v>
      </c>
      <c r="D16" s="2">
        <f>100*(C16-B16)/B16</f>
        <v>-74.757926403859841</v>
      </c>
      <c r="E16" s="2">
        <v>1219</v>
      </c>
      <c r="F16" s="2">
        <v>1263.6994</v>
      </c>
      <c r="G16" s="2">
        <f>100*(F16-E16)/E16</f>
        <v>3.6668908941755514</v>
      </c>
      <c r="H16" s="2">
        <v>1665.4179999999999</v>
      </c>
      <c r="I16" s="2">
        <v>1671.9580000000001</v>
      </c>
      <c r="J16" s="2">
        <f>100*(I16-H16)/H16</f>
        <v>0.39269420649952091</v>
      </c>
      <c r="K16" s="2">
        <v>1044.587</v>
      </c>
      <c r="L16" s="2">
        <v>1016.8963285999999</v>
      </c>
      <c r="M16" s="2">
        <f>100*(L16-K16)/K16</f>
        <v>-2.650872679824662</v>
      </c>
      <c r="N16" s="2">
        <f t="shared" si="1"/>
        <v>17939.93</v>
      </c>
      <c r="O16" s="2">
        <f>L16+I16+F16+C16</f>
        <v>7489.2017286</v>
      </c>
      <c r="P16" s="2">
        <f>100*(O16-N16)/N16</f>
        <v>-58.254008078069418</v>
      </c>
      <c r="Q16" s="2">
        <f t="shared" si="0"/>
        <v>16895.343000000001</v>
      </c>
      <c r="R16" s="2">
        <f>I16+F16+C16</f>
        <v>6472.3054000000002</v>
      </c>
      <c r="S16" s="2">
        <f>100*(R16-Q16)/Q16</f>
        <v>-61.691778616154757</v>
      </c>
    </row>
    <row r="17" spans="1:19" x14ac:dyDescent="0.45">
      <c r="A17">
        <v>2001</v>
      </c>
      <c r="B17" s="2">
        <v>14253.08</v>
      </c>
      <c r="C17" s="2"/>
      <c r="D17" s="2"/>
      <c r="E17" s="2">
        <v>1258</v>
      </c>
      <c r="F17" s="2"/>
      <c r="G17" s="2"/>
      <c r="H17" s="2">
        <v>1725.4970000000001</v>
      </c>
      <c r="I17" s="2"/>
      <c r="J17" s="2"/>
      <c r="K17" s="2">
        <v>991.25900000000001</v>
      </c>
      <c r="L17" s="2"/>
      <c r="M17" s="2"/>
      <c r="N17" s="2">
        <f t="shared" si="1"/>
        <v>18227.835999999999</v>
      </c>
      <c r="O17" s="2"/>
      <c r="P17" s="2"/>
      <c r="Q17" s="2">
        <f t="shared" si="0"/>
        <v>17236.577000000001</v>
      </c>
      <c r="R17" s="2"/>
      <c r="S17" s="2"/>
    </row>
    <row r="18" spans="1:19" x14ac:dyDescent="0.45">
      <c r="A18">
        <v>2002</v>
      </c>
      <c r="B18" s="2">
        <v>14307.129000000001</v>
      </c>
      <c r="C18" s="2"/>
      <c r="D18" s="2"/>
      <c r="E18" s="2">
        <v>1283</v>
      </c>
      <c r="F18" s="2"/>
      <c r="G18" s="2"/>
      <c r="H18" s="2">
        <v>1792.4179999999999</v>
      </c>
      <c r="I18" s="2"/>
      <c r="J18" s="2"/>
      <c r="K18" s="2">
        <v>915.42499999999995</v>
      </c>
      <c r="L18" s="2"/>
      <c r="M18" s="2"/>
      <c r="N18" s="2">
        <f t="shared" si="1"/>
        <v>18297.972000000002</v>
      </c>
      <c r="O18" s="2"/>
      <c r="P18" s="2"/>
      <c r="Q18" s="2">
        <f t="shared" si="0"/>
        <v>17382.546999999999</v>
      </c>
      <c r="R18" s="2"/>
      <c r="S18" s="2"/>
    </row>
    <row r="19" spans="1:19" x14ac:dyDescent="0.45">
      <c r="A19">
        <v>2003</v>
      </c>
      <c r="B19" s="2">
        <v>15039.907999999999</v>
      </c>
      <c r="C19" s="2">
        <v>4119.3149999999996</v>
      </c>
      <c r="D19" s="2">
        <f>100*(C19-B19)/B19</f>
        <v>-72.610769959497105</v>
      </c>
      <c r="E19" s="2">
        <v>1321</v>
      </c>
      <c r="F19" s="2">
        <v>1567.6921</v>
      </c>
      <c r="G19" s="2">
        <f>100*(F19-E19)/E19</f>
        <v>18.674647993943982</v>
      </c>
      <c r="H19" s="2">
        <v>1932.002</v>
      </c>
      <c r="I19" s="2">
        <v>1706.4190000000001</v>
      </c>
      <c r="J19" s="2">
        <f>100*(I19-H19)/H19</f>
        <v>-11.676126629268492</v>
      </c>
      <c r="K19" s="2">
        <v>902.01499999999999</v>
      </c>
      <c r="L19" s="2">
        <v>738.894723</v>
      </c>
      <c r="M19" s="2">
        <f>100*(L19-K19)/K19</f>
        <v>-18.083987184248599</v>
      </c>
      <c r="N19" s="2">
        <f t="shared" si="1"/>
        <v>19194.924999999999</v>
      </c>
      <c r="O19" s="2">
        <f>L19+I19+F19+C19</f>
        <v>8132.320823</v>
      </c>
      <c r="P19" s="2">
        <f>100*(O19-N19)/N19</f>
        <v>-57.632963801629856</v>
      </c>
      <c r="Q19" s="2">
        <f t="shared" si="0"/>
        <v>18292.91</v>
      </c>
      <c r="R19" s="2">
        <f>I19+F19+C19</f>
        <v>7393.4260999999997</v>
      </c>
      <c r="S19" s="2">
        <f>100*(R19-Q19)/Q19</f>
        <v>-59.583105695047969</v>
      </c>
    </row>
    <row r="20" spans="1:19" x14ac:dyDescent="0.45">
      <c r="A20">
        <v>2004</v>
      </c>
      <c r="B20" s="2">
        <v>15663.898999999999</v>
      </c>
      <c r="C20" s="2"/>
      <c r="D20" s="2"/>
      <c r="E20" s="2">
        <v>1404</v>
      </c>
      <c r="F20" s="2"/>
      <c r="G20" s="2"/>
      <c r="H20" s="2">
        <v>2097.4450000000002</v>
      </c>
      <c r="I20" s="2"/>
      <c r="J20" s="2"/>
      <c r="K20" s="2">
        <v>919.64700000000005</v>
      </c>
      <c r="L20" s="2"/>
      <c r="M20" s="2"/>
      <c r="N20" s="2">
        <f t="shared" si="1"/>
        <v>20084.991000000002</v>
      </c>
      <c r="O20" s="2"/>
      <c r="P20" s="2"/>
      <c r="Q20" s="2">
        <f t="shared" si="0"/>
        <v>19165.344000000001</v>
      </c>
      <c r="R20" s="2"/>
      <c r="S20" s="2"/>
    </row>
    <row r="21" spans="1:19" x14ac:dyDescent="0.45">
      <c r="A21">
        <v>2005</v>
      </c>
      <c r="B21" s="2">
        <v>16339.298000000001</v>
      </c>
      <c r="C21" s="2"/>
      <c r="D21" s="2"/>
      <c r="E21" s="2">
        <v>1547</v>
      </c>
      <c r="F21" s="2"/>
      <c r="G21" s="2"/>
      <c r="H21" s="2">
        <v>2275.502</v>
      </c>
      <c r="I21" s="2"/>
      <c r="J21" s="2"/>
      <c r="K21" s="2">
        <v>954.726</v>
      </c>
      <c r="L21" s="2"/>
      <c r="M21" s="2"/>
      <c r="N21" s="2">
        <f t="shared" si="1"/>
        <v>21116.526000000002</v>
      </c>
      <c r="O21" s="2"/>
      <c r="P21" s="2"/>
      <c r="Q21" s="2">
        <f t="shared" si="0"/>
        <v>20161.8</v>
      </c>
      <c r="R21" s="2"/>
      <c r="S21" s="2"/>
    </row>
    <row r="22" spans="1:19" x14ac:dyDescent="0.45">
      <c r="A22">
        <v>2006</v>
      </c>
      <c r="B22" s="2">
        <v>16759.366000000002</v>
      </c>
      <c r="C22" s="2">
        <v>5082.3428000000004</v>
      </c>
      <c r="D22" s="2">
        <f>100*(C22-B22)/B22</f>
        <v>-69.674611796174148</v>
      </c>
      <c r="E22" s="2">
        <v>1589</v>
      </c>
      <c r="F22" s="2">
        <v>2320.6509000000001</v>
      </c>
      <c r="G22" s="2">
        <f>100*(F22-E22)/E22</f>
        <v>46.044738829452491</v>
      </c>
      <c r="H22" s="2">
        <v>2348.373</v>
      </c>
      <c r="I22" s="2">
        <v>1812.5612000000001</v>
      </c>
      <c r="J22" s="2">
        <f>100*(I22-H22)/H22</f>
        <v>-22.81629877366159</v>
      </c>
      <c r="K22" s="2">
        <v>928.05200000000002</v>
      </c>
      <c r="L22" s="2">
        <v>746.560655</v>
      </c>
      <c r="M22" s="2">
        <f>100*(L22-K22)/K22</f>
        <v>-19.556161184933607</v>
      </c>
      <c r="N22" s="2">
        <f t="shared" si="1"/>
        <v>21624.791000000001</v>
      </c>
      <c r="O22" s="2">
        <f>L22+I22+F22+C22</f>
        <v>9962.1155550000003</v>
      </c>
      <c r="P22" s="2">
        <f>100*(O22-N22)/N22</f>
        <v>-53.931968382954544</v>
      </c>
      <c r="Q22" s="2">
        <f t="shared" si="0"/>
        <v>20696.739000000001</v>
      </c>
      <c r="R22" s="2">
        <f>I22+F22+C22</f>
        <v>9215.554900000001</v>
      </c>
      <c r="S22" s="2">
        <f>100*(R22-Q22)/Q22</f>
        <v>-55.473396557786231</v>
      </c>
    </row>
    <row r="23" spans="1:19" x14ac:dyDescent="0.45">
      <c r="A23">
        <v>2007</v>
      </c>
      <c r="B23" s="2">
        <v>17484.710999999999</v>
      </c>
      <c r="C23" s="2"/>
      <c r="D23" s="2"/>
      <c r="E23" s="2">
        <v>1635</v>
      </c>
      <c r="F23" s="2"/>
      <c r="G23" s="2"/>
      <c r="H23" s="2">
        <v>2402.3449999999998</v>
      </c>
      <c r="I23" s="2"/>
      <c r="J23" s="2"/>
      <c r="K23" s="2">
        <v>942.13400000000001</v>
      </c>
      <c r="L23" s="2"/>
      <c r="M23" s="2"/>
      <c r="N23" s="2">
        <f t="shared" si="1"/>
        <v>22464.19</v>
      </c>
      <c r="O23" s="2"/>
      <c r="P23" s="2"/>
      <c r="Q23" s="2">
        <f t="shared" si="0"/>
        <v>21522.056</v>
      </c>
      <c r="R23" s="2"/>
      <c r="S23" s="2"/>
    </row>
    <row r="24" spans="1:19" x14ac:dyDescent="0.45">
      <c r="A24">
        <v>2008</v>
      </c>
      <c r="B24" s="2">
        <v>16982.944</v>
      </c>
      <c r="C24" s="2"/>
      <c r="D24" s="2"/>
      <c r="E24" s="2">
        <v>1591</v>
      </c>
      <c r="F24" s="2"/>
      <c r="G24" s="2"/>
      <c r="H24" s="2">
        <v>2325.5770000000002</v>
      </c>
      <c r="I24" s="2"/>
      <c r="J24" s="2"/>
      <c r="K24" s="2">
        <v>835.46199999999999</v>
      </c>
      <c r="L24" s="2"/>
      <c r="M24" s="2"/>
      <c r="N24" s="2">
        <f t="shared" si="1"/>
        <v>21734.983</v>
      </c>
      <c r="O24" s="2"/>
      <c r="P24" s="2"/>
      <c r="Q24" s="2">
        <f t="shared" si="0"/>
        <v>20899.521000000001</v>
      </c>
      <c r="R24" s="2"/>
      <c r="S24" s="2"/>
    </row>
    <row r="25" spans="1:19" x14ac:dyDescent="0.45">
      <c r="A25">
        <v>2009</v>
      </c>
      <c r="B25" s="2">
        <v>17050.647000000001</v>
      </c>
      <c r="C25" s="2">
        <v>5779.348</v>
      </c>
      <c r="D25" s="2">
        <f>100*(C25-B25)/B25</f>
        <v>-66.104817019553579</v>
      </c>
      <c r="E25" s="2">
        <v>1583</v>
      </c>
      <c r="F25" s="2">
        <v>2329.2440000000001</v>
      </c>
      <c r="G25" s="2">
        <f>100*(F25-E25)/E25</f>
        <v>47.141124447252061</v>
      </c>
      <c r="H25" s="2">
        <v>2348.2660000000001</v>
      </c>
      <c r="I25" s="2">
        <v>1292.1579999999999</v>
      </c>
      <c r="J25" s="2">
        <f>100*(I25-H25)/H25</f>
        <v>-44.97395099192341</v>
      </c>
      <c r="K25" s="2">
        <v>778.90200000000004</v>
      </c>
      <c r="L25" s="2">
        <v>540.43938300000002</v>
      </c>
      <c r="M25" s="2">
        <f>100*(L25-K25)/K25</f>
        <v>-30.615227204449344</v>
      </c>
      <c r="N25" s="2">
        <f t="shared" si="1"/>
        <v>21760.815000000002</v>
      </c>
      <c r="O25" s="2">
        <f>L25+I25+F25+C25</f>
        <v>9941.1893830000008</v>
      </c>
      <c r="P25" s="2">
        <f>100*(O25-N25)/N25</f>
        <v>-54.316098073532636</v>
      </c>
      <c r="Q25" s="2">
        <f t="shared" si="0"/>
        <v>20981.913</v>
      </c>
      <c r="R25" s="2">
        <f>I25+F25+C25</f>
        <v>9400.75</v>
      </c>
      <c r="S25" s="2">
        <f>100*(R25-Q25)/Q25</f>
        <v>-55.195934708146012</v>
      </c>
    </row>
    <row r="26" spans="1:19" x14ac:dyDescent="0.45">
      <c r="A26">
        <v>2010</v>
      </c>
      <c r="B26" s="2">
        <v>17589.371999999999</v>
      </c>
      <c r="C26" s="2"/>
      <c r="D26" s="2"/>
      <c r="E26" s="2">
        <v>1610</v>
      </c>
      <c r="F26" s="2"/>
      <c r="G26" s="2"/>
      <c r="H26" s="2">
        <v>2449.8890000000001</v>
      </c>
      <c r="I26" s="2"/>
      <c r="J26" s="2"/>
      <c r="K26" s="2">
        <v>792.17600000000004</v>
      </c>
      <c r="L26" s="2"/>
      <c r="M26" s="2"/>
      <c r="N26" s="2">
        <f t="shared" si="1"/>
        <v>22441.436999999998</v>
      </c>
      <c r="O26" s="2"/>
      <c r="P26" s="2"/>
      <c r="Q26" s="2">
        <f t="shared" si="0"/>
        <v>21649.260999999999</v>
      </c>
      <c r="R26" s="2"/>
      <c r="S26" s="2"/>
    </row>
    <row r="27" spans="1:19" x14ac:dyDescent="0.45">
      <c r="A27">
        <v>2011</v>
      </c>
      <c r="B27" s="2">
        <v>17952.644</v>
      </c>
      <c r="C27" s="2"/>
      <c r="D27" s="2"/>
      <c r="E27" s="2">
        <v>1708</v>
      </c>
      <c r="F27" s="2"/>
      <c r="G27" s="2"/>
      <c r="H27" s="2">
        <v>2564.1289999999999</v>
      </c>
      <c r="I27" s="2"/>
      <c r="J27" s="2"/>
      <c r="K27" s="2">
        <v>796.20500000000004</v>
      </c>
      <c r="L27" s="2"/>
      <c r="M27" s="2"/>
      <c r="N27" s="2">
        <f t="shared" si="1"/>
        <v>23020.977999999999</v>
      </c>
      <c r="O27" s="2"/>
      <c r="P27" s="2"/>
      <c r="Q27" s="2">
        <f t="shared" si="0"/>
        <v>22224.773000000001</v>
      </c>
      <c r="R27" s="2"/>
      <c r="S27" s="2"/>
    </row>
    <row r="28" spans="1:19" x14ac:dyDescent="0.45">
      <c r="A28">
        <v>2012</v>
      </c>
      <c r="B28" s="2">
        <v>18159.925999999999</v>
      </c>
      <c r="C28" s="2">
        <v>4399.6930000000002</v>
      </c>
      <c r="D28" s="2">
        <f>100*(C28-B28)/B28</f>
        <v>-75.772516914441169</v>
      </c>
      <c r="E28" s="2">
        <v>1850</v>
      </c>
      <c r="F28" s="2">
        <v>2445.9929999999999</v>
      </c>
      <c r="G28" s="2">
        <f>100*(F28-E28)/E28</f>
        <v>32.215837837837839</v>
      </c>
      <c r="H28" s="2">
        <v>2708.9769999999999</v>
      </c>
      <c r="I28" s="2">
        <v>1433.3629000000001</v>
      </c>
      <c r="J28" s="2">
        <f>100*(I28-H28)/H28</f>
        <v>-47.088406435344403</v>
      </c>
      <c r="K28" s="2">
        <v>812.17600000000004</v>
      </c>
      <c r="L28" s="2">
        <v>482.137474</v>
      </c>
      <c r="M28" s="2">
        <f>100*(L28-K28)/K28</f>
        <v>-40.636330795295606</v>
      </c>
      <c r="N28" s="2">
        <f t="shared" si="1"/>
        <v>23531.078999999998</v>
      </c>
      <c r="O28" s="2">
        <f>L28+I28+F28+C28</f>
        <v>8761.1863740000008</v>
      </c>
      <c r="P28" s="2">
        <f>100*(O28-N28)/N28</f>
        <v>-62.767596105558944</v>
      </c>
      <c r="Q28" s="2">
        <f t="shared" si="0"/>
        <v>22718.902999999998</v>
      </c>
      <c r="R28" s="2">
        <f>I28+F28+C28</f>
        <v>8279.0488999999998</v>
      </c>
      <c r="S28" s="2">
        <f>100*(R28-Q28)/Q28</f>
        <v>-63.558764699158232</v>
      </c>
    </row>
    <row r="29" spans="1:19" x14ac:dyDescent="0.45">
      <c r="A29">
        <v>2013</v>
      </c>
      <c r="B29" s="2">
        <v>18561.056</v>
      </c>
      <c r="C29" s="2"/>
      <c r="D29" s="2"/>
      <c r="E29" s="2">
        <v>1908</v>
      </c>
      <c r="F29" s="2"/>
      <c r="G29" s="2"/>
      <c r="H29" s="2">
        <v>2745.9850000000001</v>
      </c>
      <c r="I29" s="2"/>
      <c r="J29" s="2"/>
      <c r="K29" s="2">
        <v>804.27700000000004</v>
      </c>
      <c r="L29" s="2"/>
      <c r="M29" s="2"/>
      <c r="N29" s="2">
        <f t="shared" si="1"/>
        <v>24019.317999999999</v>
      </c>
      <c r="O29" s="2"/>
      <c r="P29" s="2"/>
      <c r="Q29" s="2">
        <f t="shared" si="0"/>
        <v>23215.041000000001</v>
      </c>
      <c r="R29" s="2"/>
      <c r="S29" s="2"/>
    </row>
    <row r="30" spans="1:19" x14ac:dyDescent="0.45">
      <c r="A30">
        <v>2014</v>
      </c>
      <c r="B30" s="2">
        <v>18884.936000000002</v>
      </c>
      <c r="C30" s="2"/>
      <c r="D30" s="2"/>
      <c r="E30" s="2">
        <v>1986</v>
      </c>
      <c r="F30" s="2"/>
      <c r="G30" s="2"/>
      <c r="H30" s="3"/>
      <c r="I30" s="2"/>
      <c r="J30" s="2"/>
      <c r="K30" s="3"/>
      <c r="L30" s="2"/>
      <c r="M30" s="2"/>
      <c r="N30" s="3"/>
      <c r="O30" s="2"/>
      <c r="P30" s="2"/>
      <c r="Q30" s="3"/>
      <c r="R30" s="2"/>
      <c r="S30" s="2"/>
    </row>
    <row r="31" spans="1:19" x14ac:dyDescent="0.45">
      <c r="A31">
        <v>2015</v>
      </c>
      <c r="B31" s="2">
        <v>19305.552</v>
      </c>
      <c r="C31" s="2">
        <v>5665.88</v>
      </c>
      <c r="D31" s="2">
        <f>100*(C31-B31)/B31</f>
        <v>-70.651551429350476</v>
      </c>
      <c r="E31" s="3"/>
      <c r="F31" s="2">
        <v>3820.7530000000002</v>
      </c>
      <c r="G31" s="2"/>
      <c r="H31" s="3"/>
      <c r="I31" s="2">
        <v>1269.77</v>
      </c>
      <c r="J31" s="2"/>
      <c r="K31" s="3"/>
      <c r="L31" s="2">
        <v>563.14768309999999</v>
      </c>
      <c r="M31" s="2"/>
      <c r="N31" s="3"/>
      <c r="O31" s="2">
        <f>L31+I31+F31+C31</f>
        <v>11319.5506831</v>
      </c>
      <c r="P31" s="3"/>
      <c r="Q31" s="3"/>
      <c r="R31" s="2">
        <f>I31+F31+C31</f>
        <v>10756.403</v>
      </c>
      <c r="S31" s="3"/>
    </row>
    <row r="32" spans="1:19" x14ac:dyDescent="0.45">
      <c r="C32" s="2"/>
    </row>
    <row r="33" spans="1:1" x14ac:dyDescent="0.45">
      <c r="A33" t="s">
        <v>33</v>
      </c>
    </row>
  </sheetData>
  <mergeCells count="7">
    <mergeCell ref="B1:S1"/>
    <mergeCell ref="B2:D2"/>
    <mergeCell ref="E2:G2"/>
    <mergeCell ref="H2:J2"/>
    <mergeCell ref="K2:M2"/>
    <mergeCell ref="N2:P2"/>
    <mergeCell ref="Q2:S2"/>
  </mergeCells>
  <pageMargins left="0.7" right="0.7" top="0.75" bottom="0.75" header="0.51180555555555496" footer="0.51180555555555496"/>
  <pageSetup scale="52" firstPageNumber="0" orientation="portrait" horizontalDpi="4294967295" verticalDpi="4294967295"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S33"/>
  <sheetViews>
    <sheetView zoomScaleNormal="100" workbookViewId="0">
      <selection activeCell="K4" sqref="K4:L31"/>
    </sheetView>
  </sheetViews>
  <sheetFormatPr defaultRowHeight="14.25" x14ac:dyDescent="0.45"/>
  <cols>
    <col min="1" max="1" width="8.3984375"/>
    <col min="20" max="1025" width="8.3984375"/>
  </cols>
  <sheetData>
    <row r="1" spans="1:19" ht="18" x14ac:dyDescent="0.55000000000000004">
      <c r="B1" s="83" t="s">
        <v>117</v>
      </c>
      <c r="C1" s="83"/>
      <c r="D1" s="83"/>
      <c r="E1" s="83"/>
      <c r="F1" s="83"/>
      <c r="G1" s="83"/>
      <c r="H1" s="83"/>
      <c r="I1" s="83"/>
      <c r="J1" s="83"/>
      <c r="K1" s="83"/>
      <c r="L1" s="83"/>
      <c r="M1" s="83"/>
      <c r="N1" s="83"/>
      <c r="O1" s="83"/>
      <c r="P1" s="83"/>
      <c r="Q1" s="83"/>
      <c r="R1" s="83"/>
      <c r="S1" s="83"/>
    </row>
    <row r="2" spans="1:19" x14ac:dyDescent="0.45">
      <c r="B2" s="92" t="s">
        <v>12</v>
      </c>
      <c r="C2" s="92"/>
      <c r="D2" s="92"/>
      <c r="E2" s="92" t="s">
        <v>13</v>
      </c>
      <c r="F2" s="92"/>
      <c r="G2" s="92"/>
      <c r="H2" s="92" t="s">
        <v>14</v>
      </c>
      <c r="I2" s="92"/>
      <c r="J2" s="92"/>
      <c r="K2" s="92" t="s">
        <v>15</v>
      </c>
      <c r="L2" s="92"/>
      <c r="M2" s="92"/>
      <c r="N2" s="92" t="s">
        <v>16</v>
      </c>
      <c r="O2" s="92"/>
      <c r="P2" s="92"/>
      <c r="Q2" s="92" t="s">
        <v>17</v>
      </c>
      <c r="R2" s="92"/>
      <c r="S2" s="92"/>
    </row>
    <row r="3" spans="1:19" x14ac:dyDescent="0.45">
      <c r="A3" t="s">
        <v>2</v>
      </c>
      <c r="B3" t="s">
        <v>3</v>
      </c>
      <c r="C3" t="s">
        <v>4</v>
      </c>
      <c r="D3" s="1" t="s">
        <v>5</v>
      </c>
      <c r="E3" t="s">
        <v>3</v>
      </c>
      <c r="F3" t="s">
        <v>4</v>
      </c>
      <c r="G3" s="1" t="s">
        <v>5</v>
      </c>
      <c r="H3" t="s">
        <v>3</v>
      </c>
      <c r="I3" t="s">
        <v>4</v>
      </c>
      <c r="J3" s="1" t="s">
        <v>5</v>
      </c>
      <c r="K3" t="s">
        <v>3</v>
      </c>
      <c r="L3" t="s">
        <v>4</v>
      </c>
      <c r="M3" s="1" t="s">
        <v>5</v>
      </c>
      <c r="N3" t="s">
        <v>3</v>
      </c>
      <c r="O3" t="s">
        <v>4</v>
      </c>
      <c r="P3" s="1" t="s">
        <v>5</v>
      </c>
      <c r="Q3" t="s">
        <v>3</v>
      </c>
      <c r="R3" t="s">
        <v>4</v>
      </c>
      <c r="S3" s="1" t="s">
        <v>5</v>
      </c>
    </row>
    <row r="4" spans="1:19" x14ac:dyDescent="0.45">
      <c r="A4">
        <v>1988</v>
      </c>
      <c r="B4" s="2">
        <v>4562.4170000000004</v>
      </c>
      <c r="C4" s="2">
        <v>2482.3544999999999</v>
      </c>
      <c r="D4" s="2">
        <f>100*(C4-B4)/B4</f>
        <v>-45.591240344755867</v>
      </c>
      <c r="E4" s="2">
        <v>753</v>
      </c>
      <c r="F4" s="2">
        <v>610.14970000000005</v>
      </c>
      <c r="G4" s="2">
        <f>100*(F4-E4)/E4</f>
        <v>-18.970823373173964</v>
      </c>
      <c r="H4" s="2">
        <v>623.928</v>
      </c>
      <c r="I4" s="2">
        <v>292.78539999999998</v>
      </c>
      <c r="J4" s="2">
        <f>100*(I4-H4)/H4</f>
        <v>-53.073848264543351</v>
      </c>
      <c r="K4" s="3"/>
      <c r="L4" s="2">
        <v>230.6082073</v>
      </c>
      <c r="M4" s="3"/>
      <c r="N4" s="3"/>
      <c r="O4" s="2">
        <f>L4+I4+F4+C4</f>
        <v>3615.8978072999998</v>
      </c>
      <c r="P4" s="3"/>
      <c r="Q4" s="2">
        <f>H4+E4+B4</f>
        <v>5939.3450000000003</v>
      </c>
      <c r="R4" s="2">
        <f>I4+F4+C4</f>
        <v>3385.2896000000001</v>
      </c>
      <c r="S4" s="2">
        <f>100*(R4-Q4)/Q4</f>
        <v>-43.002307493503068</v>
      </c>
    </row>
    <row r="5" spans="1:19" x14ac:dyDescent="0.45">
      <c r="A5">
        <v>1989</v>
      </c>
      <c r="B5" s="2">
        <v>4610.3950000000004</v>
      </c>
      <c r="C5" s="2"/>
      <c r="D5" s="2"/>
      <c r="E5" s="2">
        <v>737</v>
      </c>
      <c r="F5" s="2"/>
      <c r="G5" s="2"/>
      <c r="H5" s="2">
        <v>703.97699999999998</v>
      </c>
      <c r="I5" s="2"/>
      <c r="J5" s="2"/>
      <c r="K5" s="3"/>
      <c r="L5" s="2"/>
      <c r="M5" s="2"/>
      <c r="N5" s="3"/>
      <c r="O5" s="2"/>
      <c r="P5" s="2"/>
      <c r="Q5" s="2">
        <f t="shared" ref="Q5:Q29" si="0">H5+E5+B5</f>
        <v>6051.3720000000003</v>
      </c>
      <c r="R5" s="2"/>
      <c r="S5" s="2"/>
    </row>
    <row r="6" spans="1:19" x14ac:dyDescent="0.45">
      <c r="A6">
        <v>1990</v>
      </c>
      <c r="B6" s="2">
        <v>4885.6059999999998</v>
      </c>
      <c r="C6" s="2"/>
      <c r="D6" s="2"/>
      <c r="E6" s="2">
        <v>699</v>
      </c>
      <c r="F6" s="2"/>
      <c r="G6" s="2"/>
      <c r="H6" s="2">
        <v>800.81200000000001</v>
      </c>
      <c r="I6" s="2"/>
      <c r="J6" s="2"/>
      <c r="K6" s="2">
        <v>841.46</v>
      </c>
      <c r="L6" s="2"/>
      <c r="M6" s="2"/>
      <c r="N6" s="2">
        <f t="shared" ref="N6:N29" si="1">K6+H6+E6+B6</f>
        <v>7226.8779999999997</v>
      </c>
      <c r="O6" s="2"/>
      <c r="P6" s="2"/>
      <c r="Q6" s="2">
        <f t="shared" si="0"/>
        <v>6385.4179999999997</v>
      </c>
      <c r="R6" s="2"/>
      <c r="S6" s="2"/>
    </row>
    <row r="7" spans="1:19" x14ac:dyDescent="0.45">
      <c r="A7">
        <v>1991</v>
      </c>
      <c r="B7" s="2">
        <v>4987.0190000000002</v>
      </c>
      <c r="C7" s="2">
        <v>3877.6587</v>
      </c>
      <c r="D7" s="2">
        <f>100*(C7-B7)/B7</f>
        <v>-22.244958360896565</v>
      </c>
      <c r="E7" s="2">
        <v>660</v>
      </c>
      <c r="F7" s="2">
        <v>474.80869999999999</v>
      </c>
      <c r="G7" s="2">
        <f>100*(F7-E7)/E7</f>
        <v>-28.059287878787881</v>
      </c>
      <c r="H7" s="2">
        <v>848.84699999999998</v>
      </c>
      <c r="I7" s="2">
        <v>546.34702000000004</v>
      </c>
      <c r="J7" s="2">
        <f>100*(I7-H7)/H7</f>
        <v>-35.636572904186494</v>
      </c>
      <c r="K7" s="2">
        <v>845.96900000000005</v>
      </c>
      <c r="L7" s="2">
        <v>443.38409999999999</v>
      </c>
      <c r="M7" s="2">
        <f>100*(L7-K7)/K7</f>
        <v>-47.588611403018319</v>
      </c>
      <c r="N7" s="2">
        <f t="shared" si="1"/>
        <v>7341.835</v>
      </c>
      <c r="O7" s="2">
        <f>L7+I7+F7+C7</f>
        <v>5342.1985199999999</v>
      </c>
      <c r="P7" s="2">
        <f>100*(O7-N7)/N7</f>
        <v>-27.236194766022393</v>
      </c>
      <c r="Q7" s="2">
        <f t="shared" si="0"/>
        <v>6495.866</v>
      </c>
      <c r="R7" s="2">
        <f>I7+F7+C7</f>
        <v>4898.8144199999997</v>
      </c>
      <c r="S7" s="2">
        <f>100*(R7-Q7)/Q7</f>
        <v>-24.585660787953451</v>
      </c>
    </row>
    <row r="8" spans="1:19" x14ac:dyDescent="0.45">
      <c r="A8">
        <v>1992</v>
      </c>
      <c r="B8" s="2">
        <v>5167.5889999999999</v>
      </c>
      <c r="C8" s="2"/>
      <c r="D8" s="2"/>
      <c r="E8" s="2">
        <v>629</v>
      </c>
      <c r="F8" s="2"/>
      <c r="G8" s="2"/>
      <c r="H8" s="2">
        <v>844.12599999999998</v>
      </c>
      <c r="I8" s="2"/>
      <c r="J8" s="2"/>
      <c r="K8" s="2">
        <v>812.29899999999998</v>
      </c>
      <c r="L8" s="2"/>
      <c r="M8" s="2"/>
      <c r="N8" s="2">
        <f t="shared" si="1"/>
        <v>7453.0140000000001</v>
      </c>
      <c r="O8" s="2"/>
      <c r="P8" s="2"/>
      <c r="Q8" s="2">
        <f t="shared" si="0"/>
        <v>6640.7150000000001</v>
      </c>
      <c r="R8" s="2"/>
      <c r="S8" s="2"/>
    </row>
    <row r="9" spans="1:19" x14ac:dyDescent="0.45">
      <c r="A9">
        <v>1993</v>
      </c>
      <c r="B9" s="2">
        <v>5349</v>
      </c>
      <c r="C9" s="2"/>
      <c r="D9" s="2"/>
      <c r="E9" s="2">
        <v>598</v>
      </c>
      <c r="F9" s="2"/>
      <c r="G9" s="2"/>
      <c r="H9" s="2">
        <v>886.18100000000004</v>
      </c>
      <c r="I9" s="2"/>
      <c r="J9" s="2"/>
      <c r="K9" s="2">
        <v>788.65800000000002</v>
      </c>
      <c r="L9" s="2"/>
      <c r="M9" s="2"/>
      <c r="N9" s="2">
        <f t="shared" si="1"/>
        <v>7621.8389999999999</v>
      </c>
      <c r="O9" s="2"/>
      <c r="P9" s="2"/>
      <c r="Q9" s="2">
        <f t="shared" si="0"/>
        <v>6833.1810000000005</v>
      </c>
      <c r="R9" s="2"/>
      <c r="S9" s="2"/>
    </row>
    <row r="10" spans="1:19" x14ac:dyDescent="0.45">
      <c r="A10">
        <v>1994</v>
      </c>
      <c r="B10" s="2">
        <v>5451.8429999999998</v>
      </c>
      <c r="C10" s="2">
        <v>3216.49631</v>
      </c>
      <c r="D10" s="2">
        <f>100*(C10-B10)/B10</f>
        <v>-41.001670260864081</v>
      </c>
      <c r="E10" s="2">
        <v>604</v>
      </c>
      <c r="F10" s="2">
        <v>446.24004000000002</v>
      </c>
      <c r="G10" s="2">
        <f>100*(F10-E10)/E10</f>
        <v>-26.119198675496683</v>
      </c>
      <c r="H10" s="2">
        <v>910.56700000000001</v>
      </c>
      <c r="I10" s="2">
        <v>379.99712019999998</v>
      </c>
      <c r="J10" s="2">
        <f>100*(I10-H10)/H10</f>
        <v>-58.268076901534982</v>
      </c>
      <c r="K10" s="2">
        <v>899.048</v>
      </c>
      <c r="L10" s="2">
        <v>259.41019999999997</v>
      </c>
      <c r="M10" s="2">
        <f>100*(L10-K10)/K10</f>
        <v>-71.146123455032438</v>
      </c>
      <c r="N10" s="2">
        <f t="shared" si="1"/>
        <v>7865.4579999999996</v>
      </c>
      <c r="O10" s="2">
        <f>L10+I10+F10+C10</f>
        <v>4302.1436702000001</v>
      </c>
      <c r="P10" s="2">
        <f>100*(O10-N10)/N10</f>
        <v>-45.303329186933546</v>
      </c>
      <c r="Q10" s="2">
        <f t="shared" si="0"/>
        <v>6966.41</v>
      </c>
      <c r="R10" s="2">
        <f>I10+F10+C10</f>
        <v>4042.7334701999998</v>
      </c>
      <c r="S10" s="2">
        <f>100*(R10-Q10)/Q10</f>
        <v>-41.968194949766094</v>
      </c>
    </row>
    <row r="11" spans="1:19" x14ac:dyDescent="0.45">
      <c r="A11">
        <v>1995</v>
      </c>
      <c r="B11" s="2">
        <v>5703.5780000000004</v>
      </c>
      <c r="C11" s="2"/>
      <c r="D11" s="2"/>
      <c r="E11" s="2">
        <v>625</v>
      </c>
      <c r="F11" s="2"/>
      <c r="G11" s="2"/>
      <c r="H11" s="2">
        <v>967.31799999999998</v>
      </c>
      <c r="I11" s="2"/>
      <c r="J11" s="2"/>
      <c r="K11" s="2">
        <v>910.17200000000003</v>
      </c>
      <c r="L11" s="2"/>
      <c r="M11" s="2"/>
      <c r="N11" s="2">
        <f t="shared" si="1"/>
        <v>8206.0679999999993</v>
      </c>
      <c r="O11" s="2"/>
      <c r="P11" s="2"/>
      <c r="Q11" s="2">
        <f t="shared" si="0"/>
        <v>7295.8960000000006</v>
      </c>
      <c r="R11" s="2"/>
      <c r="S11" s="2"/>
    </row>
    <row r="12" spans="1:19" x14ac:dyDescent="0.45">
      <c r="A12">
        <v>1996</v>
      </c>
      <c r="B12" s="2">
        <v>5891.6809999999996</v>
      </c>
      <c r="C12" s="2"/>
      <c r="D12" s="2"/>
      <c r="E12" s="2">
        <v>642</v>
      </c>
      <c r="F12" s="2"/>
      <c r="G12" s="2"/>
      <c r="H12" s="2">
        <v>1007.915</v>
      </c>
      <c r="I12" s="2"/>
      <c r="J12" s="2"/>
      <c r="K12" s="2">
        <v>904.39499999999998</v>
      </c>
      <c r="L12" s="2"/>
      <c r="M12" s="2"/>
      <c r="N12" s="2">
        <f t="shared" si="1"/>
        <v>8445.991</v>
      </c>
      <c r="O12" s="2"/>
      <c r="P12" s="2"/>
      <c r="Q12" s="2">
        <f t="shared" si="0"/>
        <v>7541.5959999999995</v>
      </c>
      <c r="R12" s="2"/>
      <c r="S12" s="2"/>
    </row>
    <row r="13" spans="1:19" x14ac:dyDescent="0.45">
      <c r="A13">
        <v>1997</v>
      </c>
      <c r="B13" s="2">
        <v>5913.3119999999999</v>
      </c>
      <c r="C13" s="2">
        <v>3119.7910000000002</v>
      </c>
      <c r="D13" s="2">
        <f>100*(C13-B13)/B13</f>
        <v>-47.24122454556769</v>
      </c>
      <c r="E13" s="2">
        <v>664</v>
      </c>
      <c r="F13" s="2">
        <v>379.464</v>
      </c>
      <c r="G13" s="2">
        <f>100*(F13-E13)/E13</f>
        <v>-42.851807228915661</v>
      </c>
      <c r="H13" s="2">
        <v>1052.1759999999999</v>
      </c>
      <c r="I13" s="2">
        <v>429.42099999999999</v>
      </c>
      <c r="J13" s="2">
        <f>100*(I13-H13)/H13</f>
        <v>-59.187341281306537</v>
      </c>
      <c r="K13" s="2">
        <v>892.14</v>
      </c>
      <c r="L13" s="2">
        <v>273.75686439999998</v>
      </c>
      <c r="M13" s="2">
        <f>100*(L13-K13)/K13</f>
        <v>-69.314584661600207</v>
      </c>
      <c r="N13" s="2">
        <f t="shared" si="1"/>
        <v>8521.6280000000006</v>
      </c>
      <c r="O13" s="2">
        <f>L13+I13+F13+C13</f>
        <v>4202.4328643999997</v>
      </c>
      <c r="P13" s="2">
        <f>100*(O13-N13)/N13</f>
        <v>-50.685093688670769</v>
      </c>
      <c r="Q13" s="2">
        <f t="shared" si="0"/>
        <v>7629.4879999999994</v>
      </c>
      <c r="R13" s="2">
        <f>I13+F13+C13</f>
        <v>3928.6760000000004</v>
      </c>
      <c r="S13" s="2">
        <f>100*(R13-Q13)/Q13</f>
        <v>-48.506688784358786</v>
      </c>
    </row>
    <row r="14" spans="1:19" x14ac:dyDescent="0.45">
      <c r="A14">
        <v>1998</v>
      </c>
      <c r="B14" s="2">
        <v>5747.0730000000003</v>
      </c>
      <c r="C14" s="2"/>
      <c r="D14" s="2"/>
      <c r="E14" s="2">
        <v>655</v>
      </c>
      <c r="F14" s="2"/>
      <c r="G14" s="2"/>
      <c r="H14" s="2">
        <v>1075.501</v>
      </c>
      <c r="I14" s="2"/>
      <c r="J14" s="2"/>
      <c r="K14" s="2">
        <v>899.76700000000005</v>
      </c>
      <c r="L14" s="2"/>
      <c r="M14" s="2"/>
      <c r="N14" s="2">
        <f t="shared" si="1"/>
        <v>8377.3410000000003</v>
      </c>
      <c r="O14" s="2"/>
      <c r="P14" s="2"/>
      <c r="Q14" s="2">
        <f t="shared" si="0"/>
        <v>7477.5740000000005</v>
      </c>
      <c r="R14" s="2"/>
      <c r="S14" s="2"/>
    </row>
    <row r="15" spans="1:19" x14ac:dyDescent="0.45">
      <c r="A15">
        <v>1999</v>
      </c>
      <c r="B15" s="2">
        <v>5737.0789999999997</v>
      </c>
      <c r="C15" s="2"/>
      <c r="D15" s="2"/>
      <c r="E15" s="2">
        <v>693</v>
      </c>
      <c r="F15" s="2"/>
      <c r="G15" s="2"/>
      <c r="H15" s="2">
        <v>1122.7090000000001</v>
      </c>
      <c r="I15" s="2"/>
      <c r="J15" s="2"/>
      <c r="K15" s="2">
        <v>906.35699999999997</v>
      </c>
      <c r="L15" s="2"/>
      <c r="M15" s="2"/>
      <c r="N15" s="2">
        <f t="shared" si="1"/>
        <v>8459.1450000000004</v>
      </c>
      <c r="O15" s="2"/>
      <c r="P15" s="2"/>
      <c r="Q15" s="2">
        <f t="shared" si="0"/>
        <v>7552.7879999999996</v>
      </c>
      <c r="R15" s="2"/>
      <c r="S15" s="2"/>
    </row>
    <row r="16" spans="1:19" x14ac:dyDescent="0.45">
      <c r="A16">
        <v>2000</v>
      </c>
      <c r="B16" s="2">
        <v>5955.59</v>
      </c>
      <c r="C16" s="2">
        <v>3953.0043999999998</v>
      </c>
      <c r="D16" s="2">
        <f>100*(C16-B16)/B16</f>
        <v>-33.625310002871252</v>
      </c>
      <c r="E16" s="2">
        <v>773</v>
      </c>
      <c r="F16" s="2">
        <v>495.03491000000002</v>
      </c>
      <c r="G16" s="2">
        <f>100*(F16-E16)/E16</f>
        <v>-35.959261319534278</v>
      </c>
      <c r="H16" s="2">
        <v>1195.06</v>
      </c>
      <c r="I16" s="2">
        <v>481.87670000000003</v>
      </c>
      <c r="J16" s="2">
        <f>100*(I16-H16)/H16</f>
        <v>-59.677614513078836</v>
      </c>
      <c r="K16" s="2">
        <v>926.19</v>
      </c>
      <c r="L16" s="2">
        <v>204.69756559999999</v>
      </c>
      <c r="M16" s="2">
        <f>100*(L16-K16)/K16</f>
        <v>-77.898966130059705</v>
      </c>
      <c r="N16" s="2">
        <f t="shared" si="1"/>
        <v>8849.84</v>
      </c>
      <c r="O16" s="2">
        <f>L16+I16+F16+C16</f>
        <v>5134.6135756000003</v>
      </c>
      <c r="P16" s="2">
        <f>100*(O16-N16)/N16</f>
        <v>-41.980718571183203</v>
      </c>
      <c r="Q16" s="2">
        <f t="shared" si="0"/>
        <v>7923.65</v>
      </c>
      <c r="R16" s="2">
        <f>I16+F16+C16</f>
        <v>4929.9160099999999</v>
      </c>
      <c r="S16" s="2">
        <f>100*(R16-Q16)/Q16</f>
        <v>-37.782259312311872</v>
      </c>
    </row>
    <row r="17" spans="1:19" x14ac:dyDescent="0.45">
      <c r="A17">
        <v>2001</v>
      </c>
      <c r="B17" s="2">
        <v>6091.9809999999998</v>
      </c>
      <c r="C17" s="2"/>
      <c r="D17" s="2"/>
      <c r="E17" s="2">
        <v>804</v>
      </c>
      <c r="F17" s="2"/>
      <c r="G17" s="2"/>
      <c r="H17" s="2">
        <v>1260.989</v>
      </c>
      <c r="I17" s="2"/>
      <c r="J17" s="2"/>
      <c r="K17" s="2">
        <v>944.80600000000004</v>
      </c>
      <c r="L17" s="2"/>
      <c r="M17" s="2"/>
      <c r="N17" s="2">
        <f t="shared" si="1"/>
        <v>9101.7759999999998</v>
      </c>
      <c r="O17" s="2"/>
      <c r="P17" s="2"/>
      <c r="Q17" s="2">
        <f t="shared" si="0"/>
        <v>8156.9699999999993</v>
      </c>
      <c r="R17" s="2"/>
      <c r="S17" s="2"/>
    </row>
    <row r="18" spans="1:19" x14ac:dyDescent="0.45">
      <c r="A18">
        <v>2002</v>
      </c>
      <c r="B18" s="2">
        <v>6613.46</v>
      </c>
      <c r="C18" s="2"/>
      <c r="D18" s="2"/>
      <c r="E18" s="2">
        <v>898</v>
      </c>
      <c r="F18" s="2"/>
      <c r="G18" s="2"/>
      <c r="H18" s="2">
        <v>1361.9590000000001</v>
      </c>
      <c r="I18" s="2"/>
      <c r="J18" s="2"/>
      <c r="K18" s="2">
        <v>991.54300000000001</v>
      </c>
      <c r="L18" s="2"/>
      <c r="M18" s="2"/>
      <c r="N18" s="2">
        <f t="shared" si="1"/>
        <v>9864.9619999999995</v>
      </c>
      <c r="O18" s="2"/>
      <c r="P18" s="2"/>
      <c r="Q18" s="2">
        <f t="shared" si="0"/>
        <v>8873.4189999999999</v>
      </c>
      <c r="R18" s="2"/>
      <c r="S18" s="2"/>
    </row>
    <row r="19" spans="1:19" x14ac:dyDescent="0.45">
      <c r="A19">
        <v>2003</v>
      </c>
      <c r="B19" s="2">
        <v>6667.2870000000003</v>
      </c>
      <c r="C19" s="2">
        <v>3297.3519999999999</v>
      </c>
      <c r="D19" s="2">
        <f>100*(C19-B19)/B19</f>
        <v>-50.544321850851787</v>
      </c>
      <c r="E19" s="2">
        <v>995</v>
      </c>
      <c r="F19" s="2">
        <v>1065.2978000000001</v>
      </c>
      <c r="G19" s="2">
        <f>100*(F19-E19)/E19</f>
        <v>7.0651055276381962</v>
      </c>
      <c r="H19" s="2">
        <v>1409.604</v>
      </c>
      <c r="I19" s="2">
        <v>387.85</v>
      </c>
      <c r="J19" s="2">
        <f>100*(I19-H19)/H19</f>
        <v>-72.485180235016358</v>
      </c>
      <c r="K19" s="2">
        <v>955.65200000000004</v>
      </c>
      <c r="L19" s="2">
        <v>495.309866</v>
      </c>
      <c r="M19" s="2">
        <f>100*(L19-K19)/K19</f>
        <v>-48.170477747129716</v>
      </c>
      <c r="N19" s="2">
        <f t="shared" si="1"/>
        <v>10027.543000000001</v>
      </c>
      <c r="O19" s="2">
        <f>L19+I19+F19+C19</f>
        <v>5245.8096660000001</v>
      </c>
      <c r="P19" s="2">
        <f>100*(O19-N19)/N19</f>
        <v>-47.685991812750146</v>
      </c>
      <c r="Q19" s="2">
        <f t="shared" si="0"/>
        <v>9071.8909999999996</v>
      </c>
      <c r="R19" s="2">
        <f>I19+F19+C19</f>
        <v>4750.4997999999996</v>
      </c>
      <c r="S19" s="2">
        <f>100*(R19-Q19)/Q19</f>
        <v>-47.634955049614241</v>
      </c>
    </row>
    <row r="20" spans="1:19" x14ac:dyDescent="0.45">
      <c r="A20">
        <v>2004</v>
      </c>
      <c r="B20" s="2">
        <v>6908.0420000000004</v>
      </c>
      <c r="C20" s="2"/>
      <c r="D20" s="2"/>
      <c r="E20" s="2">
        <v>1083</v>
      </c>
      <c r="F20" s="2"/>
      <c r="G20" s="2"/>
      <c r="H20" s="2">
        <v>1420.8889999999999</v>
      </c>
      <c r="I20" s="2"/>
      <c r="J20" s="2"/>
      <c r="K20" s="2">
        <v>914.74300000000005</v>
      </c>
      <c r="L20" s="2"/>
      <c r="M20" s="2"/>
      <c r="N20" s="2">
        <f t="shared" si="1"/>
        <v>10326.674000000001</v>
      </c>
      <c r="O20" s="2"/>
      <c r="P20" s="2"/>
      <c r="Q20" s="2">
        <f t="shared" si="0"/>
        <v>9411.9310000000005</v>
      </c>
      <c r="R20" s="2"/>
      <c r="S20" s="2"/>
    </row>
    <row r="21" spans="1:19" x14ac:dyDescent="0.45">
      <c r="A21">
        <v>2005</v>
      </c>
      <c r="B21" s="2">
        <v>7133.1670000000004</v>
      </c>
      <c r="C21" s="2"/>
      <c r="D21" s="2"/>
      <c r="E21" s="2">
        <v>1161</v>
      </c>
      <c r="F21" s="2"/>
      <c r="G21" s="2"/>
      <c r="H21" s="2">
        <v>1408.5840000000001</v>
      </c>
      <c r="I21" s="2"/>
      <c r="J21" s="2"/>
      <c r="K21" s="2">
        <v>844.80399999999997</v>
      </c>
      <c r="L21" s="2"/>
      <c r="M21" s="2"/>
      <c r="N21" s="2">
        <f t="shared" si="1"/>
        <v>10547.555</v>
      </c>
      <c r="O21" s="2"/>
      <c r="P21" s="2"/>
      <c r="Q21" s="2">
        <f t="shared" si="0"/>
        <v>9702.7510000000002</v>
      </c>
      <c r="R21" s="2"/>
      <c r="S21" s="2"/>
    </row>
    <row r="22" spans="1:19" x14ac:dyDescent="0.45">
      <c r="A22">
        <v>2006</v>
      </c>
      <c r="B22" s="2">
        <v>7273.86</v>
      </c>
      <c r="C22" s="2">
        <v>2323.58</v>
      </c>
      <c r="D22" s="2">
        <f>100*(C22-B22)/B22</f>
        <v>-68.055750316888151</v>
      </c>
      <c r="E22" s="2">
        <v>1301</v>
      </c>
      <c r="F22" s="2">
        <v>891.16819999999996</v>
      </c>
      <c r="G22" s="2">
        <f>100*(F22-E22)/E22</f>
        <v>-31.501291314373564</v>
      </c>
      <c r="H22" s="2">
        <v>1524.393</v>
      </c>
      <c r="I22" s="2">
        <v>315.06709999999998</v>
      </c>
      <c r="J22" s="2">
        <f>100*(I22-H22)/H22</f>
        <v>-79.33163560840282</v>
      </c>
      <c r="K22" s="2">
        <v>791.29200000000003</v>
      </c>
      <c r="L22" s="2">
        <v>242.482167</v>
      </c>
      <c r="M22" s="2">
        <f>100*(L22-K22)/K22</f>
        <v>-69.356171046844906</v>
      </c>
      <c r="N22" s="2">
        <f t="shared" si="1"/>
        <v>10890.545</v>
      </c>
      <c r="O22" s="2">
        <f>L22+I22+F22+C22</f>
        <v>3772.2974669999999</v>
      </c>
      <c r="P22" s="2">
        <f>100*(O22-N22)/N22</f>
        <v>-65.36172003329493</v>
      </c>
      <c r="Q22" s="2">
        <f t="shared" si="0"/>
        <v>10099.253000000001</v>
      </c>
      <c r="R22" s="2">
        <f>I22+F22+C22</f>
        <v>3529.8152999999998</v>
      </c>
      <c r="S22" s="2">
        <f>100*(R22-Q22)/Q22</f>
        <v>-65.048748654974773</v>
      </c>
    </row>
    <row r="23" spans="1:19" x14ac:dyDescent="0.45">
      <c r="A23">
        <v>2007</v>
      </c>
      <c r="B23" s="2">
        <v>7615.93</v>
      </c>
      <c r="C23" s="2"/>
      <c r="D23" s="2"/>
      <c r="E23" s="2">
        <v>1414</v>
      </c>
      <c r="F23" s="2"/>
      <c r="G23" s="2"/>
      <c r="H23" s="2">
        <v>1587.548</v>
      </c>
      <c r="I23" s="2"/>
      <c r="J23" s="2"/>
      <c r="K23" s="2">
        <v>904</v>
      </c>
      <c r="L23" s="2"/>
      <c r="M23" s="2"/>
      <c r="N23" s="2">
        <f t="shared" si="1"/>
        <v>11521.477999999999</v>
      </c>
      <c r="O23" s="2"/>
      <c r="P23" s="2"/>
      <c r="Q23" s="2">
        <f t="shared" si="0"/>
        <v>10617.477999999999</v>
      </c>
      <c r="R23" s="2"/>
      <c r="S23" s="2"/>
    </row>
    <row r="24" spans="1:19" x14ac:dyDescent="0.45">
      <c r="A24">
        <v>2008</v>
      </c>
      <c r="B24" s="2">
        <v>7579.5929999999998</v>
      </c>
      <c r="C24" s="2"/>
      <c r="D24" s="2"/>
      <c r="E24" s="2">
        <v>1511</v>
      </c>
      <c r="F24" s="2"/>
      <c r="G24" s="2"/>
      <c r="H24" s="2">
        <v>1724.367</v>
      </c>
      <c r="I24" s="2"/>
      <c r="J24" s="2"/>
      <c r="K24" s="2">
        <v>927.02099999999996</v>
      </c>
      <c r="L24" s="2"/>
      <c r="M24" s="2"/>
      <c r="N24" s="2">
        <f t="shared" si="1"/>
        <v>11741.981</v>
      </c>
      <c r="O24" s="2"/>
      <c r="P24" s="2"/>
      <c r="Q24" s="2">
        <f t="shared" si="0"/>
        <v>10814.96</v>
      </c>
      <c r="R24" s="2"/>
      <c r="S24" s="2"/>
    </row>
    <row r="25" spans="1:19" x14ac:dyDescent="0.45">
      <c r="A25">
        <v>2009</v>
      </c>
      <c r="B25" s="2">
        <v>7533.5429999999997</v>
      </c>
      <c r="C25" s="2">
        <v>2034.6023</v>
      </c>
      <c r="D25" s="2">
        <f>100*(C25-B25)/B25</f>
        <v>-72.992756529032889</v>
      </c>
      <c r="E25" s="2">
        <v>1525</v>
      </c>
      <c r="F25" s="2">
        <v>1361.44</v>
      </c>
      <c r="G25" s="2">
        <f>100*(F25-E25)/E25</f>
        <v>-10.72524590163934</v>
      </c>
      <c r="H25" s="2">
        <v>1746.296</v>
      </c>
      <c r="I25" s="2">
        <v>617.17499999999995</v>
      </c>
      <c r="J25" s="2">
        <f>100*(I25-H25)/H25</f>
        <v>-64.658053388428996</v>
      </c>
      <c r="K25" s="2">
        <v>915.96699999999998</v>
      </c>
      <c r="L25" s="2">
        <v>210.3481318</v>
      </c>
      <c r="M25" s="2">
        <f>100*(L25-K25)/K25</f>
        <v>-77.035402825647651</v>
      </c>
      <c r="N25" s="2">
        <f t="shared" si="1"/>
        <v>11720.806</v>
      </c>
      <c r="O25" s="2">
        <f>L25+I25+F25+C25</f>
        <v>4223.5654317999997</v>
      </c>
      <c r="P25" s="2">
        <f>100*(O25-N25)/N25</f>
        <v>-63.965230447462403</v>
      </c>
      <c r="Q25" s="2">
        <f t="shared" si="0"/>
        <v>10804.839</v>
      </c>
      <c r="R25" s="2">
        <f>I25+F25+C25</f>
        <v>4013.2173000000003</v>
      </c>
      <c r="S25" s="2">
        <f>100*(R25-Q25)/Q25</f>
        <v>-62.85722258332585</v>
      </c>
    </row>
    <row r="26" spans="1:19" x14ac:dyDescent="0.45">
      <c r="A26">
        <v>2010</v>
      </c>
      <c r="B26" s="2">
        <v>7323.5249999999996</v>
      </c>
      <c r="C26" s="2"/>
      <c r="D26" s="2"/>
      <c r="E26" s="2">
        <v>1587</v>
      </c>
      <c r="F26" s="2"/>
      <c r="G26" s="2"/>
      <c r="H26" s="2">
        <v>1677.665</v>
      </c>
      <c r="I26" s="2"/>
      <c r="J26" s="2"/>
      <c r="K26" s="2">
        <v>857.10900000000004</v>
      </c>
      <c r="L26" s="2"/>
      <c r="M26" s="2"/>
      <c r="N26" s="2">
        <f t="shared" si="1"/>
        <v>11445.298999999999</v>
      </c>
      <c r="O26" s="2"/>
      <c r="P26" s="2"/>
      <c r="Q26" s="2">
        <f t="shared" si="0"/>
        <v>10588.189999999999</v>
      </c>
      <c r="R26" s="2"/>
      <c r="S26" s="2"/>
    </row>
    <row r="27" spans="1:19" x14ac:dyDescent="0.45">
      <c r="A27">
        <v>2011</v>
      </c>
      <c r="B27" s="2">
        <v>7341.5039999999999</v>
      </c>
      <c r="C27" s="2"/>
      <c r="D27" s="2"/>
      <c r="E27" s="2">
        <v>1531</v>
      </c>
      <c r="F27" s="2"/>
      <c r="G27" s="2"/>
      <c r="H27" s="2">
        <v>1594.443</v>
      </c>
      <c r="I27" s="2"/>
      <c r="J27" s="2"/>
      <c r="K27" s="2">
        <v>828.68299999999999</v>
      </c>
      <c r="L27" s="2"/>
      <c r="M27" s="2"/>
      <c r="N27" s="2">
        <f t="shared" si="1"/>
        <v>11295.630000000001</v>
      </c>
      <c r="O27" s="2"/>
      <c r="P27" s="2"/>
      <c r="Q27" s="2">
        <f t="shared" si="0"/>
        <v>10466.947</v>
      </c>
      <c r="R27" s="2"/>
      <c r="S27" s="2"/>
    </row>
    <row r="28" spans="1:19" x14ac:dyDescent="0.45">
      <c r="A28">
        <v>2012</v>
      </c>
      <c r="B28" s="2">
        <v>7229.6120000000001</v>
      </c>
      <c r="C28" s="2">
        <v>1785.126</v>
      </c>
      <c r="D28" s="2">
        <f>100*(C28-B28)/B28</f>
        <v>-75.308135485002509</v>
      </c>
      <c r="E28" s="2">
        <v>1481</v>
      </c>
      <c r="F28" s="2">
        <v>1439.604</v>
      </c>
      <c r="G28" s="2">
        <f>100*(F28-E28)/E28</f>
        <v>-2.7951384199864928</v>
      </c>
      <c r="H28" s="2">
        <v>1496.4749999999999</v>
      </c>
      <c r="I28" s="2">
        <v>489.63900000000001</v>
      </c>
      <c r="J28" s="2">
        <f>100*(I28-H28)/H28</f>
        <v>-67.28050919661203</v>
      </c>
      <c r="K28" s="2">
        <v>779.79700000000003</v>
      </c>
      <c r="L28" s="2">
        <v>256.00133369999998</v>
      </c>
      <c r="M28" s="2">
        <f>100*(L28-K28)/K28</f>
        <v>-67.170772175322554</v>
      </c>
      <c r="N28" s="2">
        <f t="shared" si="1"/>
        <v>10986.884</v>
      </c>
      <c r="O28" s="2">
        <f>L28+I28+F28+C28</f>
        <v>3970.3703336999997</v>
      </c>
      <c r="P28" s="2">
        <f>100*(O28-N28)/N28</f>
        <v>-63.862635359579663</v>
      </c>
      <c r="Q28" s="2">
        <f t="shared" si="0"/>
        <v>10207.087</v>
      </c>
      <c r="R28" s="2">
        <f>I28+F28+C28</f>
        <v>3714.3689999999997</v>
      </c>
      <c r="S28" s="2">
        <f>100*(R28-Q28)/Q28</f>
        <v>-63.609901630112482</v>
      </c>
    </row>
    <row r="29" spans="1:19" x14ac:dyDescent="0.45">
      <c r="A29">
        <v>2013</v>
      </c>
      <c r="B29" s="2">
        <v>7326.5469999999996</v>
      </c>
      <c r="C29" s="2"/>
      <c r="D29" s="2"/>
      <c r="E29" s="2">
        <v>1491</v>
      </c>
      <c r="F29" s="2"/>
      <c r="G29" s="2"/>
      <c r="H29" s="2">
        <v>1511.924</v>
      </c>
      <c r="I29" s="2"/>
      <c r="J29" s="2"/>
      <c r="K29" s="2">
        <v>778.53200000000004</v>
      </c>
      <c r="L29" s="2"/>
      <c r="M29" s="2"/>
      <c r="N29" s="2">
        <f t="shared" si="1"/>
        <v>11108.003000000001</v>
      </c>
      <c r="O29" s="2"/>
      <c r="P29" s="2"/>
      <c r="Q29" s="2">
        <f t="shared" si="0"/>
        <v>10329.471</v>
      </c>
      <c r="R29" s="2"/>
      <c r="S29" s="2"/>
    </row>
    <row r="30" spans="1:19" x14ac:dyDescent="0.45">
      <c r="A30">
        <v>2014</v>
      </c>
      <c r="B30" s="2">
        <v>7531.3779999999997</v>
      </c>
      <c r="C30" s="2"/>
      <c r="D30" s="2"/>
      <c r="E30" s="2">
        <v>1576</v>
      </c>
      <c r="F30" s="2"/>
      <c r="G30" s="2"/>
      <c r="H30" s="3"/>
      <c r="I30" s="2"/>
      <c r="J30" s="2"/>
      <c r="K30" s="3"/>
      <c r="L30" s="2"/>
      <c r="M30" s="2"/>
      <c r="N30" s="3"/>
      <c r="O30" s="2"/>
      <c r="P30" s="2"/>
      <c r="Q30" s="3"/>
      <c r="R30" s="2"/>
      <c r="S30" s="2"/>
    </row>
    <row r="31" spans="1:19" x14ac:dyDescent="0.45">
      <c r="A31">
        <v>2015</v>
      </c>
      <c r="B31" s="2">
        <v>7720.32</v>
      </c>
      <c r="C31" s="2">
        <v>1473.8893290000001</v>
      </c>
      <c r="D31" s="2">
        <f>100*(C31-B31)/B31</f>
        <v>-80.908960651890084</v>
      </c>
      <c r="E31" s="3"/>
      <c r="F31" s="2">
        <v>1184.7076999999999</v>
      </c>
      <c r="G31" s="3"/>
      <c r="H31" s="3"/>
      <c r="I31" s="2">
        <v>338.45</v>
      </c>
      <c r="J31" s="3"/>
      <c r="K31" s="3"/>
      <c r="L31" s="2">
        <v>162.5483716</v>
      </c>
      <c r="M31" s="3"/>
      <c r="N31" s="3"/>
      <c r="O31" s="2">
        <f>L31+I31+F31+C31</f>
        <v>3159.5954006000002</v>
      </c>
      <c r="P31" s="3"/>
      <c r="Q31" s="3"/>
      <c r="R31" s="2">
        <f>I31+F31+C31</f>
        <v>2997.0470290000003</v>
      </c>
      <c r="S31" s="3"/>
    </row>
    <row r="33" spans="1:1" x14ac:dyDescent="0.45">
      <c r="A33" t="s">
        <v>33</v>
      </c>
    </row>
  </sheetData>
  <mergeCells count="7">
    <mergeCell ref="B1:S1"/>
    <mergeCell ref="B2:D2"/>
    <mergeCell ref="E2:G2"/>
    <mergeCell ref="H2:J2"/>
    <mergeCell ref="K2:M2"/>
    <mergeCell ref="N2:P2"/>
    <mergeCell ref="Q2:S2"/>
  </mergeCells>
  <pageMargins left="0.7" right="0.7" top="0.75" bottom="0.75" header="0.51180555555555496" footer="0.51180555555555496"/>
  <pageSetup scale="50" firstPageNumber="0" orientation="portrait" horizontalDpi="4294967295" verticalDpi="4294967295"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R66"/>
  <sheetViews>
    <sheetView zoomScaleNormal="100" workbookViewId="0">
      <selection activeCell="A2" sqref="A2"/>
    </sheetView>
  </sheetViews>
  <sheetFormatPr defaultRowHeight="14.25" x14ac:dyDescent="0.45"/>
  <cols>
    <col min="1" max="6" width="8.3984375"/>
    <col min="7" max="7" width="13.86328125"/>
    <col min="8" max="10" width="8.3984375"/>
    <col min="11" max="11" width="12.86328125"/>
    <col min="12" max="1025" width="8.3984375"/>
  </cols>
  <sheetData>
    <row r="1" spans="1:11" x14ac:dyDescent="0.45">
      <c r="A1" s="92" t="s">
        <v>12</v>
      </c>
      <c r="B1" s="92"/>
      <c r="C1" s="92"/>
      <c r="D1" s="92"/>
      <c r="E1" s="92"/>
      <c r="F1" s="92"/>
      <c r="G1" s="92"/>
      <c r="H1" s="92"/>
      <c r="I1" s="92"/>
      <c r="J1" s="92"/>
      <c r="K1" s="92"/>
    </row>
    <row r="2" spans="1:11" x14ac:dyDescent="0.45">
      <c r="A2" t="s">
        <v>48</v>
      </c>
      <c r="B2" t="s">
        <v>2</v>
      </c>
      <c r="C2" t="s">
        <v>3</v>
      </c>
      <c r="D2" t="s">
        <v>4</v>
      </c>
      <c r="E2" s="1" t="s">
        <v>5</v>
      </c>
      <c r="G2" t="s">
        <v>48</v>
      </c>
      <c r="H2" t="s">
        <v>2</v>
      </c>
      <c r="I2" s="22" t="s">
        <v>3</v>
      </c>
      <c r="J2" s="22" t="s">
        <v>4</v>
      </c>
      <c r="K2" s="1" t="s">
        <v>5</v>
      </c>
    </row>
    <row r="3" spans="1:11" x14ac:dyDescent="0.45">
      <c r="A3" t="s">
        <v>49</v>
      </c>
      <c r="B3">
        <v>1988</v>
      </c>
      <c r="C3" s="2">
        <v>2364.3931513316002</v>
      </c>
      <c r="D3" s="2">
        <v>283.54554815099999</v>
      </c>
      <c r="E3" s="2">
        <f t="shared" ref="E3:E34" si="0">100*(D3-C3)/C3</f>
        <v>-88.0076818869438</v>
      </c>
      <c r="G3" t="s">
        <v>50</v>
      </c>
      <c r="H3">
        <v>1988</v>
      </c>
      <c r="I3" s="2">
        <v>5003.5114301181502</v>
      </c>
      <c r="J3" s="2">
        <v>1241.5615519580001</v>
      </c>
      <c r="K3" s="2">
        <f t="shared" ref="K3:K22" si="1">100*(J3-I3)/I3</f>
        <v>-75.186195349039451</v>
      </c>
    </row>
    <row r="4" spans="1:11" x14ac:dyDescent="0.45">
      <c r="A4" t="s">
        <v>51</v>
      </c>
      <c r="B4">
        <v>1988</v>
      </c>
      <c r="C4" s="2">
        <v>2639.11827878655</v>
      </c>
      <c r="D4" s="2">
        <v>958.01600380699995</v>
      </c>
      <c r="E4" s="2">
        <f t="shared" si="0"/>
        <v>-63.699391137274475</v>
      </c>
      <c r="G4" t="s">
        <v>52</v>
      </c>
      <c r="H4">
        <v>1988</v>
      </c>
      <c r="I4" s="2">
        <v>8567.9295698818496</v>
      </c>
      <c r="J4" s="2">
        <v>4633.6517609519997</v>
      </c>
      <c r="K4" s="2">
        <f t="shared" si="1"/>
        <v>-45.918652538411365</v>
      </c>
    </row>
    <row r="5" spans="1:11" x14ac:dyDescent="0.45">
      <c r="A5" t="s">
        <v>53</v>
      </c>
      <c r="B5">
        <v>1988</v>
      </c>
      <c r="C5" s="2">
        <v>3630.31603137602</v>
      </c>
      <c r="D5" s="2">
        <v>1720.80672411</v>
      </c>
      <c r="E5" s="2">
        <f t="shared" si="0"/>
        <v>-52.598982864371933</v>
      </c>
      <c r="G5" t="s">
        <v>50</v>
      </c>
      <c r="H5">
        <v>1991</v>
      </c>
      <c r="I5" s="2">
        <v>5810.9898279173103</v>
      </c>
      <c r="J5" s="2">
        <v>1665.89404341</v>
      </c>
      <c r="K5" s="2">
        <f t="shared" si="1"/>
        <v>-71.332008956431693</v>
      </c>
    </row>
    <row r="6" spans="1:11" x14ac:dyDescent="0.45">
      <c r="A6" t="s">
        <v>54</v>
      </c>
      <c r="B6">
        <v>1988</v>
      </c>
      <c r="C6" s="2">
        <v>2582.68051128036</v>
      </c>
      <c r="D6" s="2">
        <v>1431.20384289</v>
      </c>
      <c r="E6" s="2">
        <f t="shared" si="0"/>
        <v>-44.58455714367539</v>
      </c>
      <c r="G6" t="s">
        <v>52</v>
      </c>
      <c r="H6">
        <v>1991</v>
      </c>
      <c r="I6" s="2">
        <v>9218.3341720826902</v>
      </c>
      <c r="J6" s="2">
        <v>6212.3358814980002</v>
      </c>
      <c r="K6" s="2">
        <f t="shared" si="1"/>
        <v>-32.608909966490693</v>
      </c>
    </row>
    <row r="7" spans="1:11" x14ac:dyDescent="0.45">
      <c r="A7" t="s">
        <v>55</v>
      </c>
      <c r="B7">
        <v>1988</v>
      </c>
      <c r="C7" s="2">
        <v>2039.7273275232999</v>
      </c>
      <c r="D7" s="2">
        <v>1224.41869301</v>
      </c>
      <c r="E7" s="2">
        <f t="shared" si="0"/>
        <v>-39.971452238337804</v>
      </c>
      <c r="G7" t="s">
        <v>50</v>
      </c>
      <c r="H7">
        <v>1994</v>
      </c>
      <c r="I7" s="2">
        <v>6182.8044296933303</v>
      </c>
      <c r="J7" s="2">
        <v>1699.982539613</v>
      </c>
      <c r="K7" s="2">
        <f t="shared" si="1"/>
        <v>-72.504669055215132</v>
      </c>
    </row>
    <row r="8" spans="1:11" x14ac:dyDescent="0.45">
      <c r="A8" t="s">
        <v>56</v>
      </c>
      <c r="B8">
        <v>1988</v>
      </c>
      <c r="C8" s="2">
        <v>315.205699702174</v>
      </c>
      <c r="D8" s="2">
        <v>257.22250094200001</v>
      </c>
      <c r="E8" s="2">
        <f t="shared" si="0"/>
        <v>-18.39535224615549</v>
      </c>
      <c r="G8" t="s">
        <v>52</v>
      </c>
      <c r="H8">
        <v>1994</v>
      </c>
      <c r="I8" s="2">
        <v>9761.3205703066706</v>
      </c>
      <c r="J8" s="2">
        <v>5561.7566873080004</v>
      </c>
      <c r="K8" s="2">
        <f t="shared" si="1"/>
        <v>-43.022497342966908</v>
      </c>
    </row>
    <row r="9" spans="1:11" x14ac:dyDescent="0.45">
      <c r="A9" t="s">
        <v>49</v>
      </c>
      <c r="B9">
        <v>1991</v>
      </c>
      <c r="C9" s="2">
        <v>2833.27624885573</v>
      </c>
      <c r="D9" s="2">
        <v>821.83473293899999</v>
      </c>
      <c r="E9" s="2">
        <f t="shared" si="0"/>
        <v>-70.993483841509885</v>
      </c>
      <c r="G9" t="s">
        <v>50</v>
      </c>
      <c r="H9">
        <v>1997</v>
      </c>
      <c r="I9" s="2">
        <v>6775.6603238753196</v>
      </c>
      <c r="J9" s="2">
        <v>1242.7963193370001</v>
      </c>
      <c r="K9" s="2">
        <f t="shared" si="1"/>
        <v>-81.657930593749342</v>
      </c>
    </row>
    <row r="10" spans="1:11" x14ac:dyDescent="0.45">
      <c r="A10" t="s">
        <v>51</v>
      </c>
      <c r="B10">
        <v>1991</v>
      </c>
      <c r="C10" s="2">
        <v>2977.7135790615798</v>
      </c>
      <c r="D10" s="2">
        <v>844.059310471</v>
      </c>
      <c r="E10" s="2">
        <f t="shared" si="0"/>
        <v>-71.654113531731838</v>
      </c>
      <c r="G10" t="s">
        <v>52</v>
      </c>
      <c r="H10">
        <v>1997</v>
      </c>
      <c r="I10" s="2">
        <v>10161.9166761247</v>
      </c>
      <c r="J10" s="2">
        <v>5693.9247391210001</v>
      </c>
      <c r="K10" s="2">
        <f t="shared" si="1"/>
        <v>-43.968004062670509</v>
      </c>
    </row>
    <row r="11" spans="1:11" x14ac:dyDescent="0.45">
      <c r="A11" t="s">
        <v>53</v>
      </c>
      <c r="B11">
        <v>1991</v>
      </c>
      <c r="C11" s="2">
        <v>3837.5310150973701</v>
      </c>
      <c r="D11" s="2">
        <v>1761.49800297</v>
      </c>
      <c r="E11" s="2">
        <f t="shared" si="0"/>
        <v>-54.098142893437817</v>
      </c>
      <c r="G11" t="s">
        <v>50</v>
      </c>
      <c r="H11">
        <v>2000</v>
      </c>
      <c r="I11" s="2">
        <v>7142.3476527796602</v>
      </c>
      <c r="J11" s="2">
        <v>1848.16798993</v>
      </c>
      <c r="K11" s="2">
        <f t="shared" si="1"/>
        <v>-74.123802427753162</v>
      </c>
    </row>
    <row r="12" spans="1:11" x14ac:dyDescent="0.45">
      <c r="A12" t="s">
        <v>54</v>
      </c>
      <c r="B12">
        <v>1991</v>
      </c>
      <c r="C12" s="2">
        <v>2918.5431147816798</v>
      </c>
      <c r="D12" s="2">
        <v>2098.8275761</v>
      </c>
      <c r="E12" s="2">
        <f t="shared" si="0"/>
        <v>-28.086463226464904</v>
      </c>
      <c r="G12" t="s">
        <v>52</v>
      </c>
      <c r="H12">
        <v>2000</v>
      </c>
      <c r="I12" s="2">
        <v>10457.661347220301</v>
      </c>
      <c r="J12" s="2">
        <v>5559.8338591370002</v>
      </c>
      <c r="K12" s="2">
        <f t="shared" si="1"/>
        <v>-46.834825927741171</v>
      </c>
    </row>
    <row r="13" spans="1:11" x14ac:dyDescent="0.45">
      <c r="A13" t="s">
        <v>55</v>
      </c>
      <c r="B13">
        <v>1991</v>
      </c>
      <c r="C13" s="2">
        <v>2138.1553942958099</v>
      </c>
      <c r="D13" s="2">
        <v>1952.07415143</v>
      </c>
      <c r="E13" s="2">
        <f t="shared" si="0"/>
        <v>-8.7028867668944478</v>
      </c>
      <c r="G13" t="s">
        <v>50</v>
      </c>
      <c r="H13">
        <v>2003</v>
      </c>
      <c r="I13" s="2">
        <v>8591.5165939543094</v>
      </c>
      <c r="J13" s="2">
        <v>1976.962993738</v>
      </c>
      <c r="K13" s="2">
        <f t="shared" si="1"/>
        <v>-76.989359537184029</v>
      </c>
    </row>
    <row r="14" spans="1:11" x14ac:dyDescent="0.45">
      <c r="A14" t="s">
        <v>56</v>
      </c>
      <c r="B14">
        <v>1991</v>
      </c>
      <c r="C14" s="2">
        <v>324.10464790784101</v>
      </c>
      <c r="D14" s="2">
        <v>399.93615099800002</v>
      </c>
      <c r="E14" s="2">
        <f t="shared" si="0"/>
        <v>23.397227895269694</v>
      </c>
      <c r="G14" t="s">
        <v>52</v>
      </c>
      <c r="H14">
        <v>2003</v>
      </c>
      <c r="I14" s="2">
        <v>10824.131406045701</v>
      </c>
      <c r="J14" s="2">
        <v>5219.2520443760995</v>
      </c>
      <c r="K14" s="2">
        <f t="shared" si="1"/>
        <v>-51.781331465904572</v>
      </c>
    </row>
    <row r="15" spans="1:11" x14ac:dyDescent="0.45">
      <c r="A15" t="s">
        <v>49</v>
      </c>
      <c r="B15">
        <v>1994</v>
      </c>
      <c r="C15" s="2">
        <v>3000.11138831588</v>
      </c>
      <c r="D15" s="2">
        <v>727.57714710300002</v>
      </c>
      <c r="E15" s="2">
        <f t="shared" si="0"/>
        <v>-75.748328880834421</v>
      </c>
      <c r="G15" t="s">
        <v>50</v>
      </c>
      <c r="H15">
        <v>2006</v>
      </c>
      <c r="I15" s="2">
        <v>9750.5394274850405</v>
      </c>
      <c r="J15" s="2">
        <v>1226.696778944</v>
      </c>
      <c r="K15" s="2">
        <f t="shared" si="1"/>
        <v>-87.419190619483473</v>
      </c>
    </row>
    <row r="16" spans="1:11" x14ac:dyDescent="0.45">
      <c r="A16" t="s">
        <v>51</v>
      </c>
      <c r="B16">
        <v>1994</v>
      </c>
      <c r="C16" s="2">
        <v>3182.6930413774498</v>
      </c>
      <c r="D16" s="2">
        <v>972.40539250999996</v>
      </c>
      <c r="E16" s="2">
        <f t="shared" si="0"/>
        <v>-69.447088366110592</v>
      </c>
      <c r="G16" t="s">
        <v>52</v>
      </c>
      <c r="H16">
        <v>2006</v>
      </c>
      <c r="I16" s="2">
        <v>11905.866572515</v>
      </c>
      <c r="J16" s="2">
        <v>6059.1363982479998</v>
      </c>
      <c r="K16" s="2">
        <f t="shared" si="1"/>
        <v>-49.10797663199358</v>
      </c>
    </row>
    <row r="17" spans="1:18" x14ac:dyDescent="0.45">
      <c r="A17" t="s">
        <v>53</v>
      </c>
      <c r="B17">
        <v>1994</v>
      </c>
      <c r="C17" s="2">
        <v>4094.40832973447</v>
      </c>
      <c r="D17" s="2">
        <v>1663.80723184</v>
      </c>
      <c r="E17" s="2">
        <f t="shared" si="0"/>
        <v>-59.363915421989653</v>
      </c>
      <c r="G17" t="s">
        <v>50</v>
      </c>
      <c r="H17">
        <v>2009</v>
      </c>
      <c r="I17" s="2">
        <v>10781.237763753799</v>
      </c>
      <c r="J17" s="2">
        <v>2226.61696613</v>
      </c>
      <c r="K17" s="2">
        <f t="shared" si="1"/>
        <v>-79.347297453954511</v>
      </c>
    </row>
    <row r="18" spans="1:18" x14ac:dyDescent="0.45">
      <c r="A18" t="s">
        <v>54</v>
      </c>
      <c r="B18">
        <v>1994</v>
      </c>
      <c r="C18" s="2">
        <v>3059.50957373754</v>
      </c>
      <c r="D18" s="2">
        <v>1956.1775382400001</v>
      </c>
      <c r="E18" s="2">
        <f t="shared" si="0"/>
        <v>-36.062382185968907</v>
      </c>
      <c r="G18" t="s">
        <v>52</v>
      </c>
      <c r="H18">
        <v>2009</v>
      </c>
      <c r="I18" s="2">
        <v>11330.5462362462</v>
      </c>
      <c r="J18" s="2">
        <v>5490.3996527420004</v>
      </c>
      <c r="K18" s="2">
        <f t="shared" si="1"/>
        <v>-51.543380713823687</v>
      </c>
    </row>
    <row r="19" spans="1:18" x14ac:dyDescent="0.45">
      <c r="A19" t="s">
        <v>55</v>
      </c>
      <c r="B19">
        <v>1994</v>
      </c>
      <c r="C19" s="2">
        <v>2272.1236954895599</v>
      </c>
      <c r="D19" s="2">
        <v>1532.53776371</v>
      </c>
      <c r="E19" s="2">
        <f t="shared" si="0"/>
        <v>-32.550425544512706</v>
      </c>
      <c r="G19" t="s">
        <v>50</v>
      </c>
      <c r="H19">
        <v>2012</v>
      </c>
      <c r="I19" s="2">
        <v>11372.0951973841</v>
      </c>
      <c r="J19" s="2">
        <v>1865.883410528</v>
      </c>
      <c r="K19" s="2">
        <f t="shared" si="1"/>
        <v>-83.592439404154774</v>
      </c>
    </row>
    <row r="20" spans="1:18" x14ac:dyDescent="0.45">
      <c r="A20" t="s">
        <v>56</v>
      </c>
      <c r="B20">
        <v>1994</v>
      </c>
      <c r="C20" s="2">
        <v>335.27897134510602</v>
      </c>
      <c r="D20" s="2">
        <v>409.23415351800003</v>
      </c>
      <c r="E20" s="2">
        <f t="shared" si="0"/>
        <v>22.057805139461369</v>
      </c>
      <c r="G20" t="s">
        <v>52</v>
      </c>
      <c r="H20">
        <v>2012</v>
      </c>
      <c r="I20" s="2">
        <v>11662.6288026159</v>
      </c>
      <c r="J20" s="2">
        <v>4246.8690120470001</v>
      </c>
      <c r="K20" s="2">
        <f t="shared" si="1"/>
        <v>-63.585662512945305</v>
      </c>
    </row>
    <row r="21" spans="1:18" x14ac:dyDescent="0.45">
      <c r="A21" t="s">
        <v>49</v>
      </c>
      <c r="B21">
        <v>1997</v>
      </c>
      <c r="C21" s="2">
        <v>3364.9804717162601</v>
      </c>
      <c r="D21" s="2">
        <v>539.88584490300002</v>
      </c>
      <c r="E21" s="2">
        <f t="shared" si="0"/>
        <v>-83.955751023195717</v>
      </c>
      <c r="G21" t="s">
        <v>50</v>
      </c>
      <c r="H21">
        <v>2015</v>
      </c>
      <c r="I21">
        <v>12258.361304173601</v>
      </c>
      <c r="J21">
        <v>2433.5450588590102</v>
      </c>
      <c r="K21" s="2">
        <f t="shared" si="1"/>
        <v>-80.147876225262976</v>
      </c>
    </row>
    <row r="22" spans="1:18" x14ac:dyDescent="0.45">
      <c r="A22" t="s">
        <v>51</v>
      </c>
      <c r="B22">
        <v>1997</v>
      </c>
      <c r="C22" s="2">
        <v>3410.6798521590599</v>
      </c>
      <c r="D22" s="2">
        <v>702.91047443399998</v>
      </c>
      <c r="E22" s="2">
        <f t="shared" si="0"/>
        <v>-79.390898445392423</v>
      </c>
      <c r="G22" t="s">
        <v>52</v>
      </c>
      <c r="H22">
        <v>2015</v>
      </c>
      <c r="I22">
        <v>12468.567695826399</v>
      </c>
      <c r="J22">
        <v>4426.0973272117799</v>
      </c>
      <c r="K22" s="2">
        <f t="shared" si="1"/>
        <v>-64.501958563425646</v>
      </c>
    </row>
    <row r="23" spans="1:18" x14ac:dyDescent="0.45">
      <c r="A23" t="s">
        <v>53</v>
      </c>
      <c r="B23">
        <v>1997</v>
      </c>
      <c r="C23" s="2">
        <v>4209.4124454270604</v>
      </c>
      <c r="D23" s="2">
        <v>1906.0598077699999</v>
      </c>
      <c r="E23" s="2">
        <f t="shared" si="0"/>
        <v>-54.719100765697888</v>
      </c>
    </row>
    <row r="24" spans="1:18" x14ac:dyDescent="0.45">
      <c r="A24" t="s">
        <v>54</v>
      </c>
      <c r="B24">
        <v>1997</v>
      </c>
      <c r="C24" s="2">
        <v>3218.2778468576098</v>
      </c>
      <c r="D24" s="2">
        <v>1718.4048468599999</v>
      </c>
      <c r="E24" s="2">
        <f t="shared" si="0"/>
        <v>-46.604832502641607</v>
      </c>
    </row>
    <row r="25" spans="1:18" x14ac:dyDescent="0.45">
      <c r="A25" t="s">
        <v>55</v>
      </c>
      <c r="B25">
        <v>1997</v>
      </c>
      <c r="C25" s="2">
        <v>2395.51804202634</v>
      </c>
      <c r="D25" s="2">
        <v>1868.80735261</v>
      </c>
      <c r="E25" s="2">
        <f t="shared" si="0"/>
        <v>-21.987339697546251</v>
      </c>
    </row>
    <row r="26" spans="1:18" x14ac:dyDescent="0.45">
      <c r="A26" t="s">
        <v>56</v>
      </c>
      <c r="B26">
        <v>1997</v>
      </c>
      <c r="C26" s="2">
        <v>338.70834181366303</v>
      </c>
      <c r="D26" s="2">
        <v>200.65273188099999</v>
      </c>
      <c r="E26" s="2">
        <f t="shared" si="0"/>
        <v>-40.75943603674601</v>
      </c>
    </row>
    <row r="27" spans="1:18" x14ac:dyDescent="0.45">
      <c r="A27" t="s">
        <v>49</v>
      </c>
      <c r="B27">
        <v>2000</v>
      </c>
      <c r="C27" s="2">
        <v>3732.4125483613302</v>
      </c>
      <c r="D27" s="2">
        <v>486.65555889000001</v>
      </c>
      <c r="E27" s="2">
        <f t="shared" si="0"/>
        <v>-86.961367410907997</v>
      </c>
      <c r="I27" t="s">
        <v>57</v>
      </c>
      <c r="J27" t="s">
        <v>58</v>
      </c>
      <c r="K27" t="s">
        <v>59</v>
      </c>
      <c r="L27" s="2" t="s">
        <v>60</v>
      </c>
      <c r="M27" s="2" t="s">
        <v>61</v>
      </c>
      <c r="Q27" t="s">
        <v>191</v>
      </c>
      <c r="R27" t="s">
        <v>192</v>
      </c>
    </row>
    <row r="28" spans="1:18" x14ac:dyDescent="0.45">
      <c r="A28" t="s">
        <v>51</v>
      </c>
      <c r="B28">
        <v>2000</v>
      </c>
      <c r="C28" s="2">
        <v>3409.93510441833</v>
      </c>
      <c r="D28" s="2">
        <v>1361.5124310399999</v>
      </c>
      <c r="E28" s="2">
        <f t="shared" si="0"/>
        <v>-60.072189371702187</v>
      </c>
      <c r="H28">
        <v>1</v>
      </c>
      <c r="I28">
        <v>1988</v>
      </c>
      <c r="J28" s="2">
        <f>I3</f>
        <v>5003.5114301181502</v>
      </c>
      <c r="K28" s="2">
        <f t="shared" ref="K28:K37" ca="1" si="2">OFFSET(I$4,2*(H28-H$28),0)</f>
        <v>8567.9295698818496</v>
      </c>
      <c r="L28" s="2">
        <f t="shared" ref="L28:L37" ca="1" si="3">OFFSET(J$3,2*(H28-H$28),0)</f>
        <v>1241.5615519580001</v>
      </c>
      <c r="M28" s="2">
        <f ca="1">OFFSET(J$4,2*(H28-H$28),0)</f>
        <v>4633.6517609519997</v>
      </c>
      <c r="N28">
        <f ca="1">J28/(J28+K28)</f>
        <v>0.36867945195489193</v>
      </c>
      <c r="P28">
        <f ca="1">L28/(L28+M28)</f>
        <v>0.21132195306506296</v>
      </c>
      <c r="Q28">
        <f ca="1">100*(L28-J28)/J28</f>
        <v>-75.186195349039451</v>
      </c>
      <c r="R28">
        <f ca="1">100*(M28-K28)/K28</f>
        <v>-45.918652538411365</v>
      </c>
    </row>
    <row r="29" spans="1:18" x14ac:dyDescent="0.45">
      <c r="A29" t="s">
        <v>53</v>
      </c>
      <c r="B29">
        <v>2000</v>
      </c>
      <c r="C29" s="2">
        <v>4384.4885479325403</v>
      </c>
      <c r="D29" s="2">
        <v>2251.5192907300002</v>
      </c>
      <c r="E29" s="2">
        <f t="shared" si="0"/>
        <v>-48.648074544711022</v>
      </c>
      <c r="H29">
        <v>2</v>
      </c>
      <c r="I29">
        <f t="shared" ref="I29:I37" si="4">I28+3</f>
        <v>1991</v>
      </c>
      <c r="J29" s="2">
        <f t="shared" ref="J29:J37" ca="1" si="5">OFFSET(I$3,2*(H29-H$28),0)</f>
        <v>5810.9898279173103</v>
      </c>
      <c r="K29" s="2">
        <f t="shared" ca="1" si="2"/>
        <v>9218.3341720826902</v>
      </c>
      <c r="L29" s="2">
        <f t="shared" ca="1" si="3"/>
        <v>1665.89404341</v>
      </c>
      <c r="M29" s="2">
        <f t="shared" ref="M29:M37" ca="1" si="6">OFFSET(J$4,2*(H29-H$28),0)</f>
        <v>6212.3358814980002</v>
      </c>
      <c r="N29">
        <f t="shared" ref="N29:P37" ca="1" si="7">J29/(J29+K29)</f>
        <v>0.38664345967372254</v>
      </c>
      <c r="P29">
        <f t="shared" ca="1" si="7"/>
        <v>0.21145537249973748</v>
      </c>
      <c r="Q29">
        <f t="shared" ref="Q29:R37" ca="1" si="8">100*(L29-J29)/J29</f>
        <v>-71.332008956431693</v>
      </c>
      <c r="R29">
        <f t="shared" ca="1" si="8"/>
        <v>-32.608909966490693</v>
      </c>
    </row>
    <row r="30" spans="1:18" x14ac:dyDescent="0.45">
      <c r="A30" t="s">
        <v>54</v>
      </c>
      <c r="B30">
        <v>2000</v>
      </c>
      <c r="C30" s="2">
        <v>3265.2162201709002</v>
      </c>
      <c r="D30" s="2">
        <v>1693.0976611599999</v>
      </c>
      <c r="E30" s="2">
        <f t="shared" si="0"/>
        <v>-48.147456493053198</v>
      </c>
      <c r="H30">
        <f t="shared" ref="H30:H37" si="9">H29+1</f>
        <v>3</v>
      </c>
      <c r="I30">
        <f t="shared" si="4"/>
        <v>1994</v>
      </c>
      <c r="J30" s="2">
        <f t="shared" ca="1" si="5"/>
        <v>6182.8044296933303</v>
      </c>
      <c r="K30" s="2">
        <f t="shared" ca="1" si="2"/>
        <v>9761.3205703066706</v>
      </c>
      <c r="L30" s="2">
        <f t="shared" ca="1" si="3"/>
        <v>1699.982539613</v>
      </c>
      <c r="M30" s="2">
        <f t="shared" ca="1" si="6"/>
        <v>5561.7566873080004</v>
      </c>
      <c r="N30">
        <f t="shared" ca="1" si="7"/>
        <v>0.38777947549290603</v>
      </c>
      <c r="P30">
        <f t="shared" ca="1" si="7"/>
        <v>0.23410129260918086</v>
      </c>
      <c r="Q30">
        <f t="shared" ca="1" si="8"/>
        <v>-72.504669055215132</v>
      </c>
      <c r="R30">
        <f t="shared" ca="1" si="8"/>
        <v>-43.022497342966908</v>
      </c>
    </row>
    <row r="31" spans="1:18" x14ac:dyDescent="0.45">
      <c r="A31" t="s">
        <v>55</v>
      </c>
      <c r="B31">
        <v>2000</v>
      </c>
      <c r="C31" s="2">
        <v>2481.6404977867701</v>
      </c>
      <c r="D31" s="2">
        <v>1434.8859462099999</v>
      </c>
      <c r="E31" s="2">
        <f t="shared" si="0"/>
        <v>-42.179943167042495</v>
      </c>
      <c r="H31">
        <f t="shared" si="9"/>
        <v>4</v>
      </c>
      <c r="I31">
        <f t="shared" si="4"/>
        <v>1997</v>
      </c>
      <c r="J31" s="2">
        <f t="shared" ca="1" si="5"/>
        <v>6775.6603238753196</v>
      </c>
      <c r="K31" s="2">
        <f t="shared" ca="1" si="2"/>
        <v>10161.9166761247</v>
      </c>
      <c r="L31" s="2">
        <f t="shared" ca="1" si="3"/>
        <v>1242.7963193370001</v>
      </c>
      <c r="M31" s="2">
        <f t="shared" ca="1" si="6"/>
        <v>5693.9247391210001</v>
      </c>
      <c r="N31">
        <f t="shared" ca="1" si="7"/>
        <v>0.40003716729230587</v>
      </c>
      <c r="P31">
        <f t="shared" ca="1" si="7"/>
        <v>0.17916192807286785</v>
      </c>
      <c r="Q31">
        <f t="shared" ca="1" si="8"/>
        <v>-81.657930593749342</v>
      </c>
      <c r="R31">
        <f t="shared" ca="1" si="8"/>
        <v>-43.968004062670509</v>
      </c>
    </row>
    <row r="32" spans="1:18" x14ac:dyDescent="0.45">
      <c r="A32" t="s">
        <v>56</v>
      </c>
      <c r="B32">
        <v>2000</v>
      </c>
      <c r="C32" s="2">
        <v>326.31608133012298</v>
      </c>
      <c r="D32" s="2">
        <v>180.33096103700001</v>
      </c>
      <c r="E32" s="2">
        <f t="shared" si="0"/>
        <v>-44.737335560681352</v>
      </c>
      <c r="H32">
        <f t="shared" si="9"/>
        <v>5</v>
      </c>
      <c r="I32">
        <f t="shared" si="4"/>
        <v>2000</v>
      </c>
      <c r="J32" s="2">
        <f t="shared" ca="1" si="5"/>
        <v>7142.3476527796602</v>
      </c>
      <c r="K32" s="2">
        <f t="shared" ca="1" si="2"/>
        <v>10457.661347220301</v>
      </c>
      <c r="L32" s="2">
        <f t="shared" ca="1" si="3"/>
        <v>1848.16798993</v>
      </c>
      <c r="M32" s="2">
        <f t="shared" ca="1" si="6"/>
        <v>5559.8338591370002</v>
      </c>
      <c r="N32">
        <f t="shared" ca="1" si="7"/>
        <v>0.40581500002526566</v>
      </c>
      <c r="P32">
        <f t="shared" ca="1" si="7"/>
        <v>0.24948265775105974</v>
      </c>
      <c r="Q32">
        <f t="shared" ca="1" si="8"/>
        <v>-74.123802427753162</v>
      </c>
      <c r="R32">
        <f t="shared" ca="1" si="8"/>
        <v>-46.834825927741171</v>
      </c>
    </row>
    <row r="33" spans="1:18" x14ac:dyDescent="0.45">
      <c r="A33" t="s">
        <v>49</v>
      </c>
      <c r="B33">
        <v>2003</v>
      </c>
      <c r="C33" s="2">
        <v>4633.5067667212697</v>
      </c>
      <c r="D33" s="2">
        <v>506.19166540800001</v>
      </c>
      <c r="E33" s="2">
        <f t="shared" si="0"/>
        <v>-89.075408952813788</v>
      </c>
      <c r="H33">
        <f t="shared" si="9"/>
        <v>6</v>
      </c>
      <c r="I33">
        <f t="shared" si="4"/>
        <v>2003</v>
      </c>
      <c r="J33" s="2">
        <f t="shared" ca="1" si="5"/>
        <v>8591.5165939543094</v>
      </c>
      <c r="K33" s="2">
        <f t="shared" ca="1" si="2"/>
        <v>10824.131406045701</v>
      </c>
      <c r="L33" s="2">
        <f t="shared" ca="1" si="3"/>
        <v>1976.962993738</v>
      </c>
      <c r="M33" s="2">
        <f t="shared" ca="1" si="6"/>
        <v>5219.2520443760995</v>
      </c>
      <c r="N33">
        <f t="shared" ca="1" si="7"/>
        <v>0.44250475667638317</v>
      </c>
      <c r="P33">
        <f t="shared" ca="1" si="7"/>
        <v>0.27472261227147809</v>
      </c>
      <c r="Q33">
        <f t="shared" ca="1" si="8"/>
        <v>-76.989359537184029</v>
      </c>
      <c r="R33">
        <f t="shared" ca="1" si="8"/>
        <v>-51.781331465904572</v>
      </c>
    </row>
    <row r="34" spans="1:18" x14ac:dyDescent="0.45">
      <c r="A34" t="s">
        <v>51</v>
      </c>
      <c r="B34">
        <v>2003</v>
      </c>
      <c r="C34" s="2">
        <v>3958.0098272330401</v>
      </c>
      <c r="D34" s="2">
        <v>1470.77132833</v>
      </c>
      <c r="E34" s="2">
        <f t="shared" si="0"/>
        <v>-62.840634750061128</v>
      </c>
      <c r="H34">
        <f t="shared" si="9"/>
        <v>7</v>
      </c>
      <c r="I34">
        <f t="shared" si="4"/>
        <v>2006</v>
      </c>
      <c r="J34" s="2">
        <f t="shared" ca="1" si="5"/>
        <v>9750.5394274850405</v>
      </c>
      <c r="K34" s="2">
        <f t="shared" ca="1" si="2"/>
        <v>11905.866572515</v>
      </c>
      <c r="L34" s="2">
        <f t="shared" ca="1" si="3"/>
        <v>1226.696778944</v>
      </c>
      <c r="M34" s="2">
        <f t="shared" ca="1" si="6"/>
        <v>6059.1363982479998</v>
      </c>
      <c r="N34">
        <f t="shared" ca="1" si="7"/>
        <v>0.45023811557120896</v>
      </c>
      <c r="P34">
        <f t="shared" ca="1" si="7"/>
        <v>0.16836739863659295</v>
      </c>
      <c r="Q34">
        <f t="shared" ca="1" si="8"/>
        <v>-87.419190619483473</v>
      </c>
      <c r="R34">
        <f t="shared" ca="1" si="8"/>
        <v>-49.10797663199358</v>
      </c>
    </row>
    <row r="35" spans="1:18" x14ac:dyDescent="0.45">
      <c r="A35" t="s">
        <v>53</v>
      </c>
      <c r="B35">
        <v>2003</v>
      </c>
      <c r="C35" s="2">
        <v>4590.0132711620899</v>
      </c>
      <c r="D35" s="2">
        <v>2206.3801944000002</v>
      </c>
      <c r="E35" s="2">
        <f t="shared" ref="E35:E62" si="10">100*(D35-C35)/C35</f>
        <v>-51.930853702272778</v>
      </c>
      <c r="H35">
        <f t="shared" si="9"/>
        <v>8</v>
      </c>
      <c r="I35">
        <f t="shared" si="4"/>
        <v>2009</v>
      </c>
      <c r="J35" s="2">
        <f t="shared" ca="1" si="5"/>
        <v>10781.237763753799</v>
      </c>
      <c r="K35" s="2">
        <f t="shared" ca="1" si="2"/>
        <v>11330.5462362462</v>
      </c>
      <c r="L35" s="2">
        <f t="shared" ca="1" si="3"/>
        <v>2226.61696613</v>
      </c>
      <c r="M35" s="2">
        <f t="shared" ca="1" si="6"/>
        <v>5490.3996527420004</v>
      </c>
      <c r="N35">
        <f t="shared" ca="1" si="7"/>
        <v>0.48757882963011034</v>
      </c>
      <c r="P35">
        <f t="shared" ca="1" si="7"/>
        <v>0.28853339005190137</v>
      </c>
      <c r="Q35">
        <f t="shared" ca="1" si="8"/>
        <v>-79.347297453954511</v>
      </c>
      <c r="R35">
        <f t="shared" ca="1" si="8"/>
        <v>-51.543380713823687</v>
      </c>
    </row>
    <row r="36" spans="1:18" x14ac:dyDescent="0.45">
      <c r="A36" t="s">
        <v>54</v>
      </c>
      <c r="B36">
        <v>2003</v>
      </c>
      <c r="C36" s="2">
        <v>3409.14306511938</v>
      </c>
      <c r="D36" s="2">
        <v>1449.0094418199999</v>
      </c>
      <c r="E36" s="2">
        <f t="shared" si="10"/>
        <v>-57.496373307253414</v>
      </c>
      <c r="H36">
        <f t="shared" si="9"/>
        <v>9</v>
      </c>
      <c r="I36">
        <f t="shared" si="4"/>
        <v>2012</v>
      </c>
      <c r="J36" s="2">
        <f t="shared" ca="1" si="5"/>
        <v>11372.0951973841</v>
      </c>
      <c r="K36" s="2">
        <f t="shared" ca="1" si="2"/>
        <v>11662.6288026159</v>
      </c>
      <c r="L36" s="2">
        <f t="shared" ca="1" si="3"/>
        <v>1865.883410528</v>
      </c>
      <c r="M36" s="2">
        <f t="shared" ca="1" si="6"/>
        <v>4246.8690120470001</v>
      </c>
      <c r="N36">
        <f t="shared" ca="1" si="7"/>
        <v>0.49369357311961276</v>
      </c>
      <c r="P36">
        <f t="shared" ca="1" si="7"/>
        <v>0.30524439426617506</v>
      </c>
      <c r="Q36">
        <f t="shared" ca="1" si="8"/>
        <v>-83.592439404154774</v>
      </c>
      <c r="R36">
        <f t="shared" ca="1" si="8"/>
        <v>-63.585662512945305</v>
      </c>
    </row>
    <row r="37" spans="1:18" x14ac:dyDescent="0.45">
      <c r="A37" t="s">
        <v>55</v>
      </c>
      <c r="B37">
        <v>2003</v>
      </c>
      <c r="C37" s="2">
        <v>2481.48639408791</v>
      </c>
      <c r="D37" s="2">
        <v>1476.2204151799999</v>
      </c>
      <c r="E37" s="2">
        <f t="shared" si="10"/>
        <v>-40.510638353808247</v>
      </c>
      <c r="H37">
        <f t="shared" si="9"/>
        <v>10</v>
      </c>
      <c r="I37">
        <f t="shared" si="4"/>
        <v>2015</v>
      </c>
      <c r="J37" s="2">
        <f t="shared" ca="1" si="5"/>
        <v>12258.361304173601</v>
      </c>
      <c r="K37" s="2">
        <f t="shared" ca="1" si="2"/>
        <v>12468.567695826399</v>
      </c>
      <c r="L37" s="2">
        <f t="shared" ca="1" si="3"/>
        <v>2433.5450588590102</v>
      </c>
      <c r="M37" s="2">
        <f t="shared" ca="1" si="6"/>
        <v>4426.0973272117799</v>
      </c>
      <c r="N37">
        <f t="shared" ca="1" si="7"/>
        <v>0.49574944402410831</v>
      </c>
      <c r="P37">
        <f t="shared" ca="1" si="7"/>
        <v>0.3547626715644206</v>
      </c>
      <c r="Q37">
        <f t="shared" ca="1" si="8"/>
        <v>-80.147876225262976</v>
      </c>
      <c r="R37">
        <f t="shared" ca="1" si="8"/>
        <v>-64.501958563425646</v>
      </c>
    </row>
    <row r="38" spans="1:18" x14ac:dyDescent="0.45">
      <c r="A38" t="s">
        <v>56</v>
      </c>
      <c r="B38">
        <v>2003</v>
      </c>
      <c r="C38" s="2">
        <v>343.48867567630401</v>
      </c>
      <c r="D38" s="2">
        <v>87.641992976099999</v>
      </c>
      <c r="E38" s="2">
        <f t="shared" si="10"/>
        <v>-74.484750391395181</v>
      </c>
    </row>
    <row r="39" spans="1:18" x14ac:dyDescent="0.45">
      <c r="A39" t="s">
        <v>49</v>
      </c>
      <c r="B39">
        <v>2006</v>
      </c>
      <c r="C39" s="2">
        <v>5478.8724913206297</v>
      </c>
      <c r="D39" s="2">
        <v>460.91162887399997</v>
      </c>
      <c r="E39" s="2">
        <f t="shared" si="10"/>
        <v>-91.587472977256652</v>
      </c>
    </row>
    <row r="40" spans="1:18" x14ac:dyDescent="0.45">
      <c r="A40" t="s">
        <v>51</v>
      </c>
      <c r="B40">
        <v>2006</v>
      </c>
      <c r="C40" s="2">
        <v>4271.6669361644099</v>
      </c>
      <c r="D40" s="2">
        <v>765.78515006999999</v>
      </c>
      <c r="E40" s="2">
        <f t="shared" si="10"/>
        <v>-82.072919974477003</v>
      </c>
    </row>
    <row r="41" spans="1:18" x14ac:dyDescent="0.45">
      <c r="A41" t="s">
        <v>53</v>
      </c>
      <c r="B41">
        <v>2006</v>
      </c>
      <c r="C41" s="2">
        <v>5018.8147952220697</v>
      </c>
      <c r="D41" s="2">
        <v>2438.68079278</v>
      </c>
      <c r="E41" s="2">
        <f t="shared" si="10"/>
        <v>-51.40922922476372</v>
      </c>
    </row>
    <row r="42" spans="1:18" x14ac:dyDescent="0.45">
      <c r="A42" t="s">
        <v>54</v>
      </c>
      <c r="B42">
        <v>2006</v>
      </c>
      <c r="C42" s="2">
        <v>3738.2907792577998</v>
      </c>
      <c r="D42" s="2">
        <v>2028.1798256</v>
      </c>
      <c r="E42" s="2">
        <f t="shared" si="10"/>
        <v>-45.74579813711884</v>
      </c>
    </row>
    <row r="43" spans="1:18" x14ac:dyDescent="0.45">
      <c r="A43" t="s">
        <v>55</v>
      </c>
      <c r="B43">
        <v>2006</v>
      </c>
      <c r="C43" s="2">
        <v>2782.94189149972</v>
      </c>
      <c r="D43" s="2">
        <v>1408.98126955</v>
      </c>
      <c r="E43" s="2">
        <f t="shared" si="10"/>
        <v>-49.370798080490871</v>
      </c>
    </row>
    <row r="44" spans="1:18" x14ac:dyDescent="0.45">
      <c r="A44" t="s">
        <v>56</v>
      </c>
      <c r="B44">
        <v>2006</v>
      </c>
      <c r="C44" s="2">
        <v>365.81910653536897</v>
      </c>
      <c r="D44" s="2">
        <v>183.29451031799999</v>
      </c>
      <c r="E44" s="2">
        <f t="shared" si="10"/>
        <v>-49.894768467956361</v>
      </c>
    </row>
    <row r="45" spans="1:18" x14ac:dyDescent="0.45">
      <c r="A45" t="s">
        <v>49</v>
      </c>
      <c r="B45">
        <v>2009</v>
      </c>
      <c r="C45" s="2">
        <v>6311.6650987951998</v>
      </c>
      <c r="D45" s="2">
        <v>1028.5113576199999</v>
      </c>
      <c r="E45" s="2">
        <f t="shared" si="10"/>
        <v>-83.704595514481156</v>
      </c>
    </row>
    <row r="46" spans="1:18" x14ac:dyDescent="0.45">
      <c r="A46" t="s">
        <v>51</v>
      </c>
      <c r="B46">
        <v>2009</v>
      </c>
      <c r="C46" s="2">
        <v>4469.5726649586004</v>
      </c>
      <c r="D46" s="2">
        <v>1198.1056085099999</v>
      </c>
      <c r="E46" s="2">
        <f t="shared" si="10"/>
        <v>-73.194179884284367</v>
      </c>
    </row>
    <row r="47" spans="1:18" x14ac:dyDescent="0.45">
      <c r="A47" t="s">
        <v>53</v>
      </c>
      <c r="B47">
        <v>2009</v>
      </c>
      <c r="C47" s="2">
        <v>4808.6649624212596</v>
      </c>
      <c r="D47" s="2">
        <v>2181.6556806200001</v>
      </c>
      <c r="E47" s="2">
        <f t="shared" si="10"/>
        <v>-54.630740597043122</v>
      </c>
    </row>
    <row r="48" spans="1:18" x14ac:dyDescent="0.45">
      <c r="A48" t="s">
        <v>54</v>
      </c>
      <c r="B48">
        <v>2009</v>
      </c>
      <c r="C48" s="2">
        <v>3556.36252260847</v>
      </c>
      <c r="D48" s="2">
        <v>2001.8291965799999</v>
      </c>
      <c r="E48" s="2">
        <f t="shared" si="10"/>
        <v>-43.711329093870702</v>
      </c>
    </row>
    <row r="49" spans="1:5" x14ac:dyDescent="0.45">
      <c r="A49" t="s">
        <v>55</v>
      </c>
      <c r="B49">
        <v>2009</v>
      </c>
      <c r="C49" s="2">
        <v>2606.2876678758498</v>
      </c>
      <c r="D49" s="2">
        <v>1092.47175275</v>
      </c>
      <c r="E49" s="2">
        <f t="shared" si="10"/>
        <v>-58.083224418570225</v>
      </c>
    </row>
    <row r="50" spans="1:5" x14ac:dyDescent="0.45">
      <c r="A50" t="s">
        <v>56</v>
      </c>
      <c r="B50">
        <v>2009</v>
      </c>
      <c r="C50" s="2">
        <v>359.23108334062499</v>
      </c>
      <c r="D50" s="2">
        <v>214.44302279199999</v>
      </c>
      <c r="E50" s="2">
        <f t="shared" si="10"/>
        <v>-40.304992319201986</v>
      </c>
    </row>
    <row r="51" spans="1:5" x14ac:dyDescent="0.45">
      <c r="A51" t="s">
        <v>49</v>
      </c>
      <c r="B51">
        <v>2012</v>
      </c>
      <c r="C51" s="2">
        <v>5239.5682608750403</v>
      </c>
      <c r="D51" s="2">
        <v>698.08374560799996</v>
      </c>
      <c r="E51" s="2">
        <f t="shared" si="10"/>
        <v>-86.676693367643708</v>
      </c>
    </row>
    <row r="52" spans="1:5" x14ac:dyDescent="0.45">
      <c r="A52" t="s">
        <v>51</v>
      </c>
      <c r="B52">
        <v>2012</v>
      </c>
      <c r="C52" s="2">
        <v>5378.5821044069698</v>
      </c>
      <c r="D52" s="2">
        <v>1167.7996649199999</v>
      </c>
      <c r="E52" s="2">
        <f t="shared" si="10"/>
        <v>-78.287964332399838</v>
      </c>
    </row>
    <row r="53" spans="1:5" x14ac:dyDescent="0.45">
      <c r="A53" t="s">
        <v>53</v>
      </c>
      <c r="B53">
        <v>2012</v>
      </c>
      <c r="C53" s="2">
        <v>6170.8936675151299</v>
      </c>
      <c r="D53" s="2">
        <v>1756.1210272000001</v>
      </c>
      <c r="E53" s="2">
        <f t="shared" si="10"/>
        <v>-71.541868620349319</v>
      </c>
    </row>
    <row r="54" spans="1:5" x14ac:dyDescent="0.45">
      <c r="A54" t="s">
        <v>54</v>
      </c>
      <c r="B54">
        <v>2012</v>
      </c>
      <c r="C54" s="2">
        <v>3802.9360705702602</v>
      </c>
      <c r="D54" s="2">
        <v>1483.9601990000001</v>
      </c>
      <c r="E54" s="2">
        <f t="shared" si="10"/>
        <v>-60.978565732831889</v>
      </c>
    </row>
    <row r="55" spans="1:5" x14ac:dyDescent="0.45">
      <c r="A55" t="s">
        <v>55</v>
      </c>
      <c r="B55">
        <v>2012</v>
      </c>
      <c r="C55" s="2">
        <v>2207.96420359798</v>
      </c>
      <c r="D55" s="2">
        <v>832.92620424300003</v>
      </c>
      <c r="E55" s="2">
        <f t="shared" si="10"/>
        <v>-62.276281341621932</v>
      </c>
    </row>
    <row r="56" spans="1:5" x14ac:dyDescent="0.45">
      <c r="A56" t="s">
        <v>56</v>
      </c>
      <c r="B56">
        <v>2012</v>
      </c>
      <c r="C56" s="2">
        <v>234.779693034616</v>
      </c>
      <c r="D56" s="2">
        <v>173.86158160400001</v>
      </c>
      <c r="E56" s="2">
        <f t="shared" si="10"/>
        <v>-25.946925240094849</v>
      </c>
    </row>
    <row r="57" spans="1:5" x14ac:dyDescent="0.45">
      <c r="A57" t="s">
        <v>49</v>
      </c>
      <c r="B57">
        <v>2015</v>
      </c>
      <c r="C57" s="2">
        <v>7114.9667648572404</v>
      </c>
      <c r="D57" s="2">
        <v>900.32131959488595</v>
      </c>
      <c r="E57" s="2">
        <f t="shared" si="10"/>
        <v>-87.346092408444989</v>
      </c>
    </row>
    <row r="58" spans="1:5" x14ac:dyDescent="0.45">
      <c r="A58" t="s">
        <v>51</v>
      </c>
      <c r="B58">
        <v>2015</v>
      </c>
      <c r="C58" s="2">
        <v>5143.3945393163203</v>
      </c>
      <c r="D58" s="2">
        <v>1533.22373926412</v>
      </c>
      <c r="E58" s="2">
        <f t="shared" si="10"/>
        <v>-70.190431094793638</v>
      </c>
    </row>
    <row r="59" spans="1:5" x14ac:dyDescent="0.45">
      <c r="A59" t="s">
        <v>53</v>
      </c>
      <c r="B59">
        <v>2015</v>
      </c>
      <c r="C59" s="2">
        <v>5195.2187242046102</v>
      </c>
      <c r="D59" s="2">
        <v>1369.4195329536001</v>
      </c>
      <c r="E59" s="2">
        <f t="shared" si="10"/>
        <v>-73.640772301396055</v>
      </c>
    </row>
    <row r="60" spans="1:5" x14ac:dyDescent="0.45">
      <c r="A60" t="s">
        <v>54</v>
      </c>
      <c r="B60">
        <v>2015</v>
      </c>
      <c r="C60" s="2">
        <v>4051.93795152128</v>
      </c>
      <c r="D60" s="2">
        <v>1951.16505574403</v>
      </c>
      <c r="E60" s="2">
        <f t="shared" si="10"/>
        <v>-51.846126986927942</v>
      </c>
    </row>
    <row r="61" spans="1:5" x14ac:dyDescent="0.45">
      <c r="A61" t="s">
        <v>55</v>
      </c>
      <c r="B61">
        <v>2015</v>
      </c>
      <c r="C61" s="2">
        <v>2839.9668654954298</v>
      </c>
      <c r="D61" s="2">
        <v>951.97073363230697</v>
      </c>
      <c r="E61" s="2">
        <f t="shared" si="10"/>
        <v>-66.479512659164897</v>
      </c>
    </row>
    <row r="62" spans="1:5" x14ac:dyDescent="0.45">
      <c r="A62" t="s">
        <v>56</v>
      </c>
      <c r="B62">
        <v>2015</v>
      </c>
      <c r="C62">
        <v>381.44415460511902</v>
      </c>
      <c r="D62">
        <v>153.54200488184199</v>
      </c>
      <c r="E62" s="2">
        <f t="shared" si="10"/>
        <v>-59.747186310721503</v>
      </c>
    </row>
    <row r="64" spans="1:5" x14ac:dyDescent="0.45">
      <c r="A64" t="s">
        <v>118</v>
      </c>
    </row>
    <row r="66" spans="1:1" x14ac:dyDescent="0.45">
      <c r="A66" t="s">
        <v>33</v>
      </c>
    </row>
  </sheetData>
  <mergeCells count="1">
    <mergeCell ref="A1:K1"/>
  </mergeCells>
  <pageMargins left="0.7" right="0.7" top="0.75" bottom="0.75" header="0.51180555555555496" footer="0.51180555555555496"/>
  <pageSetup firstPageNumber="0" orientation="portrait" horizontalDpi="4294967295" verticalDpi="4294967295"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2:A7"/>
  <sheetViews>
    <sheetView topLeftCell="D1" zoomScaleNormal="100" workbookViewId="0">
      <selection activeCellId="1" sqref="J27:M34 A1"/>
    </sheetView>
  </sheetViews>
  <sheetFormatPr defaultRowHeight="14.25" x14ac:dyDescent="0.45"/>
  <cols>
    <col min="1" max="1025" width="8.3984375"/>
  </cols>
  <sheetData>
    <row r="2" spans="1:1" x14ac:dyDescent="0.45">
      <c r="A2" t="s">
        <v>119</v>
      </c>
    </row>
    <row r="3" spans="1:1" x14ac:dyDescent="0.45">
      <c r="A3" t="s">
        <v>120</v>
      </c>
    </row>
    <row r="5" spans="1:1" x14ac:dyDescent="0.45">
      <c r="A5" t="s">
        <v>121</v>
      </c>
    </row>
    <row r="6" spans="1:1" x14ac:dyDescent="0.45">
      <c r="A6" t="s">
        <v>122</v>
      </c>
    </row>
    <row r="7" spans="1:1" x14ac:dyDescent="0.45">
      <c r="A7" t="s">
        <v>123</v>
      </c>
    </row>
  </sheetData>
  <pageMargins left="0.7" right="0.7" top="0.75" bottom="0.75" header="0.51180555555555496" footer="0.51180555555555496"/>
  <pageSetup firstPageNumber="0" orientation="portrait" horizontalDpi="4294967295" verticalDpi="4294967295"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AL40"/>
  <sheetViews>
    <sheetView topLeftCell="H1" zoomScale="85" zoomScaleNormal="85" workbookViewId="0">
      <selection activeCell="P7" sqref="H2:P7"/>
    </sheetView>
  </sheetViews>
  <sheetFormatPr defaultRowHeight="14.25" x14ac:dyDescent="0.45"/>
  <cols>
    <col min="1" max="3" width="8.3984375"/>
    <col min="4" max="4" width="11.1328125" bestFit="1" customWidth="1"/>
    <col min="5" max="5" width="8.3984375"/>
    <col min="6" max="6" width="10.86328125" bestFit="1" customWidth="1"/>
    <col min="7" max="13" width="8.3984375"/>
    <col min="14" max="14" width="11.1328125" bestFit="1" customWidth="1"/>
    <col min="15" max="15" width="8.3984375"/>
    <col min="16" max="16" width="10.86328125" bestFit="1" customWidth="1"/>
    <col min="17" max="1029" width="8.3984375"/>
  </cols>
  <sheetData>
    <row r="1" spans="1:38" x14ac:dyDescent="0.45">
      <c r="A1" t="s">
        <v>2</v>
      </c>
      <c r="C1" s="92" t="s">
        <v>124</v>
      </c>
      <c r="D1" s="92"/>
      <c r="E1" s="92"/>
      <c r="F1" s="92"/>
      <c r="G1" s="92"/>
      <c r="H1" s="92"/>
      <c r="I1" s="92"/>
      <c r="J1" s="92"/>
      <c r="K1" s="92"/>
      <c r="M1" s="92" t="s">
        <v>13</v>
      </c>
      <c r="N1" s="92"/>
      <c r="O1" s="92"/>
      <c r="P1" s="92"/>
      <c r="Q1" s="92"/>
      <c r="R1" s="92"/>
      <c r="S1" s="92"/>
      <c r="T1" s="92"/>
      <c r="U1" s="92"/>
    </row>
    <row r="2" spans="1:38" x14ac:dyDescent="0.45">
      <c r="C2" t="s">
        <v>125</v>
      </c>
      <c r="E2" t="s">
        <v>126</v>
      </c>
      <c r="G2" t="s">
        <v>127</v>
      </c>
      <c r="H2" t="s">
        <v>49</v>
      </c>
      <c r="I2" t="s">
        <v>128</v>
      </c>
      <c r="J2" t="s">
        <v>129</v>
      </c>
      <c r="K2" t="s">
        <v>130</v>
      </c>
      <c r="M2" t="s">
        <v>125</v>
      </c>
      <c r="O2" t="s">
        <v>126</v>
      </c>
      <c r="Q2" t="s">
        <v>127</v>
      </c>
      <c r="R2" t="s">
        <v>49</v>
      </c>
      <c r="S2" t="s">
        <v>128</v>
      </c>
      <c r="T2" t="s">
        <v>129</v>
      </c>
      <c r="U2" t="s">
        <v>130</v>
      </c>
    </row>
    <row r="3" spans="1:38" x14ac:dyDescent="0.45">
      <c r="A3">
        <v>1988</v>
      </c>
      <c r="C3" s="2">
        <v>19.898703999999999</v>
      </c>
      <c r="D3" s="2"/>
      <c r="E3" s="2">
        <v>105.0159</v>
      </c>
      <c r="F3" s="2"/>
      <c r="G3" s="2">
        <v>-1.4999999999999999E-2</v>
      </c>
      <c r="H3" s="2">
        <v>3.1578947368421</v>
      </c>
      <c r="I3" s="2">
        <v>20</v>
      </c>
      <c r="J3" s="2">
        <v>80</v>
      </c>
      <c r="K3" s="2">
        <v>294.11764705882302</v>
      </c>
      <c r="L3" s="2"/>
      <c r="M3" s="2">
        <v>13.633940000000001</v>
      </c>
      <c r="N3" s="2"/>
      <c r="O3" s="2">
        <v>111.40792999999999</v>
      </c>
      <c r="P3" s="2"/>
      <c r="Q3" s="2">
        <v>-0.16666666666666599</v>
      </c>
      <c r="R3" s="2">
        <v>0</v>
      </c>
      <c r="S3" s="2">
        <v>8</v>
      </c>
      <c r="T3" s="2">
        <v>50</v>
      </c>
      <c r="U3" s="2">
        <v>158.4</v>
      </c>
      <c r="V3" s="2"/>
      <c r="AL3" s="2"/>
    </row>
    <row r="4" spans="1:38" x14ac:dyDescent="0.45">
      <c r="A4">
        <v>1991</v>
      </c>
      <c r="C4" s="2">
        <v>24.689699999999998</v>
      </c>
      <c r="D4" s="2"/>
      <c r="E4" s="2">
        <v>63.256309999999999</v>
      </c>
      <c r="F4" s="2"/>
      <c r="G4" s="2">
        <v>0</v>
      </c>
      <c r="H4" s="2">
        <v>0.229885057471264</v>
      </c>
      <c r="I4" s="2">
        <v>15</v>
      </c>
      <c r="J4" s="2">
        <v>52</v>
      </c>
      <c r="K4" s="2">
        <v>142.85714285714201</v>
      </c>
      <c r="L4" s="2"/>
      <c r="M4" s="2">
        <v>25.143699999999999</v>
      </c>
      <c r="N4" s="2"/>
      <c r="O4" s="2">
        <v>42.647880000000001</v>
      </c>
      <c r="P4" s="2"/>
      <c r="Q4" s="2">
        <v>0</v>
      </c>
      <c r="R4" s="2">
        <v>0</v>
      </c>
      <c r="S4" s="2">
        <v>4.4444444444444402</v>
      </c>
      <c r="T4" s="2">
        <v>24.082568807339399</v>
      </c>
      <c r="U4" s="2">
        <v>75</v>
      </c>
      <c r="V4" s="2"/>
      <c r="AL4" s="2"/>
    </row>
    <row r="5" spans="1:38" x14ac:dyDescent="0.45">
      <c r="A5">
        <v>1994</v>
      </c>
      <c r="C5" s="2">
        <v>19.067357000000001</v>
      </c>
      <c r="D5" s="2"/>
      <c r="E5" s="2">
        <v>97.840363999999994</v>
      </c>
      <c r="F5" s="2"/>
      <c r="G5" s="2">
        <v>0</v>
      </c>
      <c r="H5" s="2">
        <v>2</v>
      </c>
      <c r="I5" s="2">
        <v>24</v>
      </c>
      <c r="J5" s="2">
        <v>74</v>
      </c>
      <c r="K5" s="2">
        <v>200</v>
      </c>
      <c r="L5" s="2"/>
      <c r="M5" s="2">
        <v>74.143285000000006</v>
      </c>
      <c r="N5" s="2"/>
      <c r="O5" s="2">
        <v>49.090242699999997</v>
      </c>
      <c r="P5" s="2"/>
      <c r="Q5" s="2">
        <v>0</v>
      </c>
      <c r="R5" s="2">
        <v>0.28901734104046201</v>
      </c>
      <c r="S5" s="2">
        <v>10.714285714285699</v>
      </c>
      <c r="T5" s="2">
        <v>42.307692307692299</v>
      </c>
      <c r="U5" s="2">
        <v>95</v>
      </c>
      <c r="V5" s="2"/>
      <c r="AL5" s="2"/>
    </row>
    <row r="6" spans="1:38" x14ac:dyDescent="0.45">
      <c r="A6">
        <v>1997</v>
      </c>
      <c r="C6" s="2">
        <v>31.185153</v>
      </c>
      <c r="D6" s="2"/>
      <c r="E6" s="2">
        <v>152.24663000000001</v>
      </c>
      <c r="F6" s="2"/>
      <c r="G6" s="2">
        <v>0</v>
      </c>
      <c r="H6" s="2">
        <v>2.19999999999999</v>
      </c>
      <c r="I6" s="2">
        <v>29.464285714285701</v>
      </c>
      <c r="J6" s="2">
        <v>100</v>
      </c>
      <c r="K6" s="2">
        <v>300</v>
      </c>
      <c r="L6" s="2"/>
      <c r="M6" s="2">
        <v>18.784741</v>
      </c>
      <c r="N6" s="2"/>
      <c r="O6" s="2">
        <v>108.361203</v>
      </c>
      <c r="P6" s="2"/>
      <c r="Q6" s="2">
        <v>0</v>
      </c>
      <c r="R6" s="2">
        <v>0.82499999999999996</v>
      </c>
      <c r="S6" s="2">
        <v>16.363636363636299</v>
      </c>
      <c r="T6" s="2">
        <v>60</v>
      </c>
      <c r="U6" s="2">
        <v>192</v>
      </c>
      <c r="V6" s="2"/>
      <c r="AL6" s="2"/>
    </row>
    <row r="7" spans="1:38" x14ac:dyDescent="0.45">
      <c r="A7">
        <v>2000</v>
      </c>
      <c r="C7" s="2">
        <v>26.570394799999999</v>
      </c>
      <c r="D7" s="2"/>
      <c r="E7" s="2">
        <v>89.840527499999993</v>
      </c>
      <c r="F7" s="2"/>
      <c r="G7" s="2">
        <v>0</v>
      </c>
      <c r="H7" s="2">
        <v>0.85</v>
      </c>
      <c r="I7" s="2">
        <v>25.5</v>
      </c>
      <c r="J7" s="2">
        <v>75</v>
      </c>
      <c r="K7" s="2">
        <v>150</v>
      </c>
      <c r="L7" s="2"/>
      <c r="M7" s="2">
        <v>24.459417500000001</v>
      </c>
      <c r="N7" s="2"/>
      <c r="O7" s="2">
        <v>203.14801</v>
      </c>
      <c r="P7" s="2"/>
      <c r="Q7" s="2">
        <v>0</v>
      </c>
      <c r="R7" s="2">
        <v>0.06</v>
      </c>
      <c r="S7" s="2">
        <v>11.9047619047619</v>
      </c>
      <c r="T7" s="2">
        <v>40</v>
      </c>
      <c r="U7" s="2">
        <v>137.5</v>
      </c>
      <c r="V7" s="2"/>
      <c r="AL7" s="2"/>
    </row>
    <row r="8" spans="1:38" x14ac:dyDescent="0.45">
      <c r="A8">
        <v>2003</v>
      </c>
      <c r="C8" s="2">
        <v>22.993998000000001</v>
      </c>
      <c r="D8" s="2"/>
      <c r="E8" s="2">
        <v>89.989942999999997</v>
      </c>
      <c r="F8" s="2"/>
      <c r="G8" s="2">
        <v>0</v>
      </c>
      <c r="H8" s="2">
        <v>2.9986962190352</v>
      </c>
      <c r="I8" s="2">
        <v>25</v>
      </c>
      <c r="J8" s="2">
        <v>70</v>
      </c>
      <c r="K8" s="2">
        <v>210</v>
      </c>
      <c r="L8" s="2"/>
      <c r="M8" s="2">
        <v>20.579257999999999</v>
      </c>
      <c r="N8" s="2"/>
      <c r="O8" s="2">
        <v>85.609219999999993</v>
      </c>
      <c r="P8" s="2"/>
      <c r="Q8" s="2">
        <v>0</v>
      </c>
      <c r="R8" s="2">
        <v>0</v>
      </c>
      <c r="S8" s="2">
        <v>4.9857549857549799</v>
      </c>
      <c r="T8" s="2">
        <v>30</v>
      </c>
      <c r="U8" s="2">
        <v>87.837837837837796</v>
      </c>
      <c r="V8" s="2"/>
      <c r="AL8" s="2"/>
    </row>
    <row r="9" spans="1:38" x14ac:dyDescent="0.45">
      <c r="A9">
        <v>2006</v>
      </c>
      <c r="C9" s="2">
        <v>25.039617</v>
      </c>
      <c r="D9" s="2"/>
      <c r="E9" s="2">
        <v>254.78410199999999</v>
      </c>
      <c r="F9" s="2"/>
      <c r="G9" s="2">
        <v>0</v>
      </c>
      <c r="H9" s="2">
        <v>2.34375</v>
      </c>
      <c r="I9" s="2">
        <v>32</v>
      </c>
      <c r="J9" s="2">
        <v>100</v>
      </c>
      <c r="K9" s="2">
        <v>300</v>
      </c>
      <c r="L9" s="2"/>
      <c r="M9" s="2">
        <v>18.820841999999999</v>
      </c>
      <c r="N9" s="2"/>
      <c r="O9" s="2">
        <v>84.358560999999995</v>
      </c>
      <c r="P9" s="2"/>
      <c r="Q9" s="2">
        <v>0</v>
      </c>
      <c r="R9" s="2">
        <v>6.6666666666666596E-2</v>
      </c>
      <c r="S9" s="2">
        <v>10</v>
      </c>
      <c r="T9" s="2">
        <v>40</v>
      </c>
      <c r="U9" s="2">
        <v>100</v>
      </c>
      <c r="V9" s="2"/>
      <c r="AL9" s="2"/>
    </row>
    <row r="10" spans="1:38" x14ac:dyDescent="0.45">
      <c r="A10">
        <v>2009</v>
      </c>
      <c r="C10" s="2">
        <v>20.656732999999999</v>
      </c>
      <c r="D10" s="2"/>
      <c r="E10" s="2">
        <v>92.948955999999995</v>
      </c>
      <c r="F10" s="2"/>
      <c r="G10" s="2">
        <v>0</v>
      </c>
      <c r="H10" s="2">
        <v>1.57894736842105</v>
      </c>
      <c r="I10" s="2">
        <v>27.2</v>
      </c>
      <c r="J10" s="2">
        <v>93.3333333333333</v>
      </c>
      <c r="K10" s="2">
        <v>220</v>
      </c>
      <c r="L10" s="2"/>
      <c r="M10" s="2">
        <v>12.5873843</v>
      </c>
      <c r="N10" s="2"/>
      <c r="O10" s="2">
        <v>167.77880500000001</v>
      </c>
      <c r="P10" s="2"/>
      <c r="Q10" s="2">
        <v>-2.8235294117646998</v>
      </c>
      <c r="R10" s="2">
        <v>0</v>
      </c>
      <c r="S10" s="2">
        <v>4.46428571428571</v>
      </c>
      <c r="T10" s="2">
        <v>40</v>
      </c>
      <c r="U10" s="2">
        <v>160</v>
      </c>
      <c r="V10" s="2"/>
      <c r="AL10" s="2"/>
    </row>
    <row r="11" spans="1:38" x14ac:dyDescent="0.45">
      <c r="A11">
        <v>2012</v>
      </c>
      <c r="C11" s="2">
        <v>24.6795577</v>
      </c>
      <c r="D11" s="2"/>
      <c r="E11" s="2">
        <v>87.410197299999993</v>
      </c>
      <c r="F11" s="2"/>
      <c r="G11" s="2">
        <v>0</v>
      </c>
      <c r="H11" s="2">
        <v>1.06382978723404E-3</v>
      </c>
      <c r="I11" s="2">
        <v>23.2258064516129</v>
      </c>
      <c r="J11" s="2">
        <v>82.399999999999906</v>
      </c>
      <c r="K11" s="2">
        <v>250</v>
      </c>
      <c r="L11" s="2"/>
      <c r="M11" s="2">
        <v>11.543875</v>
      </c>
      <c r="N11" s="2"/>
      <c r="O11" s="2">
        <v>36.815997199999998</v>
      </c>
      <c r="P11" s="2"/>
      <c r="Q11" s="2">
        <v>-1.5082956259426801</v>
      </c>
      <c r="R11" s="2">
        <v>0</v>
      </c>
      <c r="S11" s="2">
        <v>5.4166666666666599</v>
      </c>
      <c r="T11" s="2">
        <v>33.740458015267102</v>
      </c>
      <c r="U11" s="2">
        <v>92.5</v>
      </c>
      <c r="V11" s="2"/>
      <c r="AL11" s="2"/>
    </row>
    <row r="12" spans="1:38" x14ac:dyDescent="0.45">
      <c r="A12">
        <v>2015</v>
      </c>
      <c r="C12" s="2">
        <v>19.970131899999998</v>
      </c>
      <c r="D12" s="2"/>
      <c r="E12" s="2">
        <v>198.156879</v>
      </c>
      <c r="F12" s="2"/>
      <c r="G12" s="2">
        <v>0</v>
      </c>
      <c r="H12" s="2">
        <v>2.6</v>
      </c>
      <c r="I12" s="2">
        <v>32.5</v>
      </c>
      <c r="J12" s="2">
        <v>100</v>
      </c>
      <c r="K12" s="2">
        <v>300</v>
      </c>
      <c r="L12" s="2"/>
      <c r="M12" s="2">
        <v>16.1617234</v>
      </c>
      <c r="N12" s="2"/>
      <c r="O12" s="2">
        <v>60.63193579</v>
      </c>
      <c r="P12" s="2"/>
      <c r="Q12" s="2">
        <v>0</v>
      </c>
      <c r="R12" s="2">
        <v>1</v>
      </c>
      <c r="S12" s="2">
        <v>12</v>
      </c>
      <c r="T12" s="2">
        <v>48.75</v>
      </c>
      <c r="U12" s="2">
        <v>120</v>
      </c>
      <c r="V12" s="2"/>
      <c r="AL12" s="2"/>
    </row>
    <row r="15" spans="1:38" x14ac:dyDescent="0.45">
      <c r="C15" s="92" t="s">
        <v>14</v>
      </c>
      <c r="D15" s="92"/>
      <c r="E15" s="92"/>
      <c r="F15" s="92"/>
      <c r="G15" s="92"/>
      <c r="H15" s="92"/>
      <c r="I15" s="92"/>
      <c r="J15" s="92"/>
      <c r="K15" s="92"/>
      <c r="M15" s="92" t="s">
        <v>15</v>
      </c>
      <c r="N15" s="92"/>
      <c r="O15" s="92"/>
      <c r="P15" s="92"/>
      <c r="Q15" s="92"/>
      <c r="R15" s="92"/>
      <c r="S15" s="92"/>
      <c r="T15" s="92"/>
      <c r="U15" s="92"/>
    </row>
    <row r="16" spans="1:38" x14ac:dyDescent="0.45">
      <c r="C16" t="s">
        <v>125</v>
      </c>
      <c r="D16" t="s">
        <v>214</v>
      </c>
      <c r="E16" t="s">
        <v>126</v>
      </c>
      <c r="F16" t="s">
        <v>215</v>
      </c>
      <c r="G16" t="s">
        <v>127</v>
      </c>
      <c r="H16" t="s">
        <v>49</v>
      </c>
      <c r="I16" t="s">
        <v>128</v>
      </c>
      <c r="J16" t="s">
        <v>129</v>
      </c>
      <c r="K16" t="s">
        <v>130</v>
      </c>
      <c r="M16" t="s">
        <v>125</v>
      </c>
      <c r="N16" t="s">
        <v>214</v>
      </c>
      <c r="O16" t="s">
        <v>126</v>
      </c>
      <c r="P16" t="s">
        <v>215</v>
      </c>
      <c r="Q16" t="s">
        <v>127</v>
      </c>
      <c r="R16" t="s">
        <v>49</v>
      </c>
      <c r="S16" t="s">
        <v>128</v>
      </c>
      <c r="T16" t="s">
        <v>129</v>
      </c>
      <c r="U16" t="s">
        <v>130</v>
      </c>
    </row>
    <row r="17" spans="1:21" x14ac:dyDescent="0.45">
      <c r="A17">
        <v>1988</v>
      </c>
      <c r="C17" s="2">
        <v>12.658124000000001</v>
      </c>
      <c r="D17" s="2">
        <v>2.6428000200000001</v>
      </c>
      <c r="E17" s="2">
        <v>23.532854</v>
      </c>
      <c r="F17" s="2">
        <v>10.59950985</v>
      </c>
      <c r="G17" s="2">
        <v>-24.75</v>
      </c>
      <c r="H17" s="2">
        <v>0.52857142857142803</v>
      </c>
      <c r="I17" s="2">
        <v>6</v>
      </c>
      <c r="J17" s="2">
        <v>37.5</v>
      </c>
      <c r="K17" s="2">
        <v>93.023255813953398</v>
      </c>
      <c r="L17" s="2"/>
      <c r="M17" s="2">
        <v>17.8463222429463</v>
      </c>
      <c r="N17" s="2">
        <v>9.9011782900000007</v>
      </c>
      <c r="O17" s="2">
        <v>101.69380556877201</v>
      </c>
      <c r="P17" s="2">
        <v>35.37530718</v>
      </c>
      <c r="Q17" s="2">
        <v>0</v>
      </c>
      <c r="R17" s="2">
        <v>3.2</v>
      </c>
      <c r="S17" s="2">
        <v>16.666666666699999</v>
      </c>
      <c r="T17" s="2">
        <v>30.5263157895</v>
      </c>
      <c r="U17" s="2">
        <v>100</v>
      </c>
    </row>
    <row r="18" spans="1:21" x14ac:dyDescent="0.45">
      <c r="A18">
        <v>1991</v>
      </c>
      <c r="C18" s="2">
        <v>14.9536</v>
      </c>
      <c r="D18" s="2">
        <v>2.27144228</v>
      </c>
      <c r="E18" s="2">
        <v>41.95581</v>
      </c>
      <c r="F18" s="2">
        <v>9.0422224599999996</v>
      </c>
      <c r="G18" s="2">
        <v>0</v>
      </c>
      <c r="H18" s="2">
        <v>0</v>
      </c>
      <c r="I18" s="2">
        <v>11.2</v>
      </c>
      <c r="J18" s="2">
        <v>43.636363636363598</v>
      </c>
      <c r="K18" s="2">
        <v>114.28571428571399</v>
      </c>
      <c r="L18" s="2"/>
      <c r="M18" s="2">
        <v>15.481210330543799</v>
      </c>
      <c r="N18" s="2">
        <v>2.42071105</v>
      </c>
      <c r="O18" s="2">
        <v>45.0557793084525</v>
      </c>
      <c r="P18" s="2">
        <v>19.760463390000002</v>
      </c>
      <c r="Q18" s="2">
        <v>0</v>
      </c>
      <c r="R18" s="2">
        <v>0</v>
      </c>
      <c r="S18" s="2">
        <v>9</v>
      </c>
      <c r="T18" s="2">
        <v>32</v>
      </c>
      <c r="U18" s="2">
        <v>76.704545454500007</v>
      </c>
    </row>
    <row r="19" spans="1:21" x14ac:dyDescent="0.45">
      <c r="A19">
        <v>1994</v>
      </c>
      <c r="C19" s="2">
        <v>14.28769</v>
      </c>
      <c r="D19" s="2">
        <v>2.1102888700000002</v>
      </c>
      <c r="E19" s="2">
        <v>38.13814</v>
      </c>
      <c r="F19" s="2">
        <v>5.2013397599999998</v>
      </c>
      <c r="G19" s="2">
        <v>0</v>
      </c>
      <c r="H19" s="2">
        <v>0.94545454545454499</v>
      </c>
      <c r="I19" s="2">
        <v>11.7096018735363</v>
      </c>
      <c r="J19" s="2">
        <v>40</v>
      </c>
      <c r="K19" s="2">
        <v>126.666666666666</v>
      </c>
      <c r="L19" s="2"/>
      <c r="M19" s="2">
        <v>28.312997060103498</v>
      </c>
      <c r="N19" s="2">
        <v>7.1129053300000002</v>
      </c>
      <c r="O19" s="2">
        <v>73.891624247413503</v>
      </c>
      <c r="P19" s="2">
        <v>21.342477160000001</v>
      </c>
      <c r="Q19" s="2">
        <v>0</v>
      </c>
      <c r="R19" s="2">
        <v>0.4</v>
      </c>
      <c r="S19" s="2">
        <v>8</v>
      </c>
      <c r="T19" s="2">
        <v>41.111111111100001</v>
      </c>
      <c r="U19" s="2">
        <v>200</v>
      </c>
    </row>
    <row r="20" spans="1:21" x14ac:dyDescent="0.45">
      <c r="A20">
        <v>1997</v>
      </c>
      <c r="C20" s="2">
        <v>19.604880000000001</v>
      </c>
      <c r="D20" s="2">
        <v>2.9436189700000002</v>
      </c>
      <c r="E20" s="2">
        <v>72.008968999999993</v>
      </c>
      <c r="F20" s="2">
        <v>13.10893192</v>
      </c>
      <c r="G20" s="2">
        <v>0</v>
      </c>
      <c r="H20" s="2">
        <v>0.05</v>
      </c>
      <c r="I20" s="2">
        <v>15.75</v>
      </c>
      <c r="J20" s="2">
        <v>76</v>
      </c>
      <c r="K20" s="2">
        <v>187.5</v>
      </c>
      <c r="L20" s="2"/>
      <c r="M20" s="2">
        <v>15.491856440032</v>
      </c>
      <c r="N20" s="2">
        <v>3.0824211400000001</v>
      </c>
      <c r="O20" s="2">
        <v>92.355015608907095</v>
      </c>
      <c r="P20" s="2">
        <v>127.40241877</v>
      </c>
      <c r="Q20" s="2">
        <v>0</v>
      </c>
      <c r="R20" s="2">
        <v>5.25</v>
      </c>
      <c r="S20" s="2">
        <v>20.833333333300001</v>
      </c>
      <c r="T20" s="2">
        <v>62.222222222200003</v>
      </c>
      <c r="U20" s="2">
        <v>110</v>
      </c>
    </row>
    <row r="21" spans="1:21" x14ac:dyDescent="0.45">
      <c r="A21">
        <v>2000</v>
      </c>
      <c r="C21" s="2">
        <v>16.065107309999998</v>
      </c>
      <c r="D21" s="2">
        <v>1.55171514</v>
      </c>
      <c r="E21" s="2">
        <v>120.71178999999999</v>
      </c>
      <c r="F21" s="2">
        <v>1127.8954367599999</v>
      </c>
      <c r="G21" s="2">
        <v>0</v>
      </c>
      <c r="H21" s="2">
        <v>4.3999999999999897</v>
      </c>
      <c r="I21" s="2">
        <v>18.375</v>
      </c>
      <c r="J21" s="2">
        <v>40</v>
      </c>
      <c r="K21" s="2">
        <v>120</v>
      </c>
      <c r="L21" s="2"/>
      <c r="M21" s="2">
        <v>26.474591881875099</v>
      </c>
      <c r="N21" s="2">
        <v>7.1932425599999998</v>
      </c>
      <c r="O21" s="2">
        <v>90.755419775453504</v>
      </c>
      <c r="P21" s="2">
        <v>27.644609639999999</v>
      </c>
      <c r="Q21" s="2">
        <v>0</v>
      </c>
      <c r="R21" s="2">
        <v>2.88</v>
      </c>
      <c r="S21" s="2">
        <v>15.75</v>
      </c>
      <c r="T21" s="2">
        <v>46</v>
      </c>
      <c r="U21" s="2">
        <v>200</v>
      </c>
    </row>
    <row r="22" spans="1:21" x14ac:dyDescent="0.45">
      <c r="A22">
        <v>2003</v>
      </c>
      <c r="C22" s="2">
        <v>16.058841000000001</v>
      </c>
      <c r="D22" s="2">
        <v>2.2771590900000001</v>
      </c>
      <c r="E22" s="2">
        <v>161.095</v>
      </c>
      <c r="F22" s="2">
        <v>55.827194230000003</v>
      </c>
      <c r="G22" s="2">
        <v>0</v>
      </c>
      <c r="H22" s="2">
        <v>3.996</v>
      </c>
      <c r="I22" s="2">
        <v>14.1666666666666</v>
      </c>
      <c r="J22" s="2">
        <v>40</v>
      </c>
      <c r="K22" s="2">
        <v>150</v>
      </c>
      <c r="L22" s="2"/>
      <c r="M22" s="2">
        <v>11.270817084172601</v>
      </c>
      <c r="N22" s="2">
        <v>1.6032170400000001</v>
      </c>
      <c r="O22" s="2">
        <v>13.944128207184701</v>
      </c>
      <c r="P22" s="2">
        <v>2.7066343499999999</v>
      </c>
      <c r="Q22" s="2">
        <v>0</v>
      </c>
      <c r="R22" s="2">
        <v>0</v>
      </c>
      <c r="S22" s="2">
        <v>4.4000000000000004</v>
      </c>
      <c r="T22" s="2">
        <v>12.857142857099999</v>
      </c>
      <c r="U22" s="2">
        <v>50</v>
      </c>
    </row>
    <row r="23" spans="1:21" x14ac:dyDescent="0.45">
      <c r="A23">
        <v>2006</v>
      </c>
      <c r="C23" s="2">
        <v>15.3659383</v>
      </c>
      <c r="D23" s="2">
        <v>1.55275388</v>
      </c>
      <c r="E23" s="2">
        <v>75.125465399999996</v>
      </c>
      <c r="F23" s="2">
        <v>18.957511180000001</v>
      </c>
      <c r="G23" s="2">
        <v>0</v>
      </c>
      <c r="H23" s="2">
        <v>3.7804878048780401</v>
      </c>
      <c r="I23" s="2">
        <v>16.6666666666666</v>
      </c>
      <c r="J23" s="2">
        <v>80</v>
      </c>
      <c r="K23" s="2">
        <v>200</v>
      </c>
      <c r="L23" s="2"/>
      <c r="M23" s="2">
        <v>16.348189112735199</v>
      </c>
      <c r="N23" s="2">
        <v>2.7038745099999999</v>
      </c>
      <c r="O23" s="2">
        <v>44.372387540702498</v>
      </c>
      <c r="P23" s="2">
        <v>13.03300204</v>
      </c>
      <c r="Q23" s="2">
        <v>0</v>
      </c>
      <c r="R23" s="2">
        <v>0</v>
      </c>
      <c r="S23" s="2">
        <v>7.5</v>
      </c>
      <c r="T23" s="2">
        <v>36</v>
      </c>
      <c r="U23" s="2">
        <v>133.33333333300001</v>
      </c>
    </row>
    <row r="24" spans="1:21" x14ac:dyDescent="0.45">
      <c r="A24">
        <v>2009</v>
      </c>
      <c r="C24" s="2">
        <v>17.019036</v>
      </c>
      <c r="D24" s="2">
        <v>2.5918231999999999</v>
      </c>
      <c r="E24" s="2">
        <v>142.25677999999999</v>
      </c>
      <c r="F24" s="2">
        <v>73.819413209999993</v>
      </c>
      <c r="G24" s="2">
        <v>-8</v>
      </c>
      <c r="H24" s="2">
        <v>0</v>
      </c>
      <c r="I24" s="2">
        <v>13.3443163097199</v>
      </c>
      <c r="J24" s="2">
        <v>58.139534883720899</v>
      </c>
      <c r="K24" s="2">
        <v>190</v>
      </c>
      <c r="L24" s="2"/>
      <c r="M24" s="2">
        <v>11.508780831153199</v>
      </c>
      <c r="N24" s="2">
        <v>3.93939291</v>
      </c>
      <c r="O24" s="2">
        <v>23.818790325904502</v>
      </c>
      <c r="P24" s="2">
        <v>4.7419610399999996</v>
      </c>
      <c r="Q24" s="2">
        <v>0</v>
      </c>
      <c r="R24" s="2">
        <v>0</v>
      </c>
      <c r="S24" s="2">
        <v>5.4</v>
      </c>
      <c r="T24" s="2">
        <v>23.333333333300001</v>
      </c>
      <c r="U24" s="2">
        <v>65.454545454500007</v>
      </c>
    </row>
    <row r="25" spans="1:21" x14ac:dyDescent="0.45">
      <c r="A25">
        <v>2012</v>
      </c>
      <c r="C25" s="2">
        <v>14.3722002</v>
      </c>
      <c r="D25" s="2">
        <v>1.3203381999999999</v>
      </c>
      <c r="E25" s="2">
        <v>57.627877499999997</v>
      </c>
      <c r="F25" s="2">
        <v>16.42266154</v>
      </c>
      <c r="G25" s="2">
        <v>0</v>
      </c>
      <c r="H25" s="2">
        <v>2.6666666666666599</v>
      </c>
      <c r="I25" s="2">
        <v>15.1666666666666</v>
      </c>
      <c r="J25" s="2">
        <v>52.173913043478201</v>
      </c>
      <c r="K25" s="2">
        <v>100</v>
      </c>
      <c r="L25" s="2"/>
      <c r="M25" s="2">
        <v>15.3977836078572</v>
      </c>
      <c r="N25" s="2">
        <v>3.0012492000000002</v>
      </c>
      <c r="O25" s="2">
        <v>55.435455079313698</v>
      </c>
      <c r="P25" s="2">
        <v>13.294037579999999</v>
      </c>
      <c r="Q25" s="2">
        <v>0</v>
      </c>
      <c r="R25" s="2">
        <v>0</v>
      </c>
      <c r="S25" s="2">
        <v>8.95161290323</v>
      </c>
      <c r="T25" s="2">
        <v>41.257367387000002</v>
      </c>
      <c r="U25" s="2">
        <v>200</v>
      </c>
    </row>
    <row r="26" spans="1:21" x14ac:dyDescent="0.45">
      <c r="A26">
        <v>2015</v>
      </c>
      <c r="C26" s="2">
        <v>11.718852</v>
      </c>
      <c r="D26" s="2">
        <v>1.1735667700000001</v>
      </c>
      <c r="E26" s="2">
        <v>31.933902100000001</v>
      </c>
      <c r="F26" s="2">
        <v>3.25359416</v>
      </c>
      <c r="G26" s="2">
        <v>0</v>
      </c>
      <c r="H26" s="2">
        <v>5.88</v>
      </c>
      <c r="I26" s="2">
        <v>19.8095238095238</v>
      </c>
      <c r="J26" s="2">
        <v>37.5</v>
      </c>
      <c r="K26" s="2">
        <v>80</v>
      </c>
      <c r="L26" s="2"/>
      <c r="M26" s="2">
        <v>10.865338820368899</v>
      </c>
      <c r="N26" s="2">
        <v>3.9121596599999999</v>
      </c>
      <c r="O26" s="2">
        <v>27.072970160567198</v>
      </c>
      <c r="P26" s="2">
        <v>10.14626185</v>
      </c>
      <c r="Q26" s="2">
        <v>0</v>
      </c>
      <c r="R26" s="2">
        <v>1.3333333333299999</v>
      </c>
      <c r="S26" s="2">
        <v>9.7222222222199992</v>
      </c>
      <c r="T26" s="2">
        <v>36.5</v>
      </c>
      <c r="U26" s="2">
        <v>100</v>
      </c>
    </row>
    <row r="27" spans="1:21" x14ac:dyDescent="0.45">
      <c r="C27" s="2"/>
      <c r="D27" s="2"/>
      <c r="E27" s="2"/>
      <c r="F27" s="2"/>
      <c r="G27" s="2"/>
      <c r="H27" s="2"/>
      <c r="I27" s="2"/>
      <c r="J27" s="2"/>
      <c r="K27" s="2"/>
      <c r="M27" s="2"/>
      <c r="N27" s="2"/>
      <c r="O27" s="2"/>
      <c r="P27" s="2"/>
      <c r="Q27" s="2"/>
      <c r="R27" s="2"/>
      <c r="S27" s="2"/>
      <c r="T27" s="2"/>
      <c r="U27" s="2"/>
    </row>
    <row r="28" spans="1:21" x14ac:dyDescent="0.45">
      <c r="C28" s="92" t="s">
        <v>17</v>
      </c>
      <c r="D28" s="92"/>
      <c r="E28" s="92"/>
      <c r="F28" s="92"/>
      <c r="G28" s="92"/>
      <c r="H28" s="92"/>
      <c r="I28" s="92"/>
      <c r="J28" s="92"/>
      <c r="K28" s="92"/>
      <c r="M28" s="92" t="s">
        <v>16</v>
      </c>
      <c r="N28" s="92"/>
      <c r="O28" s="92"/>
      <c r="P28" s="92"/>
      <c r="Q28" s="92"/>
      <c r="R28" s="92"/>
      <c r="S28" s="92"/>
      <c r="T28" s="92"/>
      <c r="U28" s="92"/>
    </row>
    <row r="29" spans="1:21" x14ac:dyDescent="0.45">
      <c r="C29" t="s">
        <v>125</v>
      </c>
      <c r="D29" t="s">
        <v>214</v>
      </c>
      <c r="E29" t="s">
        <v>126</v>
      </c>
      <c r="F29" t="s">
        <v>215</v>
      </c>
      <c r="G29" t="s">
        <v>127</v>
      </c>
      <c r="H29" t="s">
        <v>49</v>
      </c>
      <c r="I29" t="s">
        <v>128</v>
      </c>
      <c r="J29" t="s">
        <v>129</v>
      </c>
      <c r="K29" t="s">
        <v>130</v>
      </c>
      <c r="M29" t="s">
        <v>125</v>
      </c>
      <c r="N29" t="s">
        <v>214</v>
      </c>
      <c r="O29" t="s">
        <v>126</v>
      </c>
      <c r="P29" t="s">
        <v>215</v>
      </c>
      <c r="Q29" t="s">
        <v>127</v>
      </c>
      <c r="R29" t="s">
        <v>49</v>
      </c>
      <c r="S29" t="s">
        <v>128</v>
      </c>
      <c r="T29" t="s">
        <v>129</v>
      </c>
      <c r="U29" t="s">
        <v>130</v>
      </c>
    </row>
    <row r="30" spans="1:21" x14ac:dyDescent="0.45">
      <c r="A30">
        <v>1988</v>
      </c>
      <c r="C30" s="2">
        <v>16.094159999999999</v>
      </c>
      <c r="D30" s="2">
        <v>1.8825498000000001</v>
      </c>
      <c r="E30" s="2">
        <v>101.33908</v>
      </c>
      <c r="F30" s="2">
        <v>16.045755759999999</v>
      </c>
      <c r="G30" s="2">
        <v>-9.7560999999999995E-2</v>
      </c>
      <c r="H30" s="2">
        <v>1.230769</v>
      </c>
      <c r="I30" s="2">
        <v>13.333333</v>
      </c>
      <c r="J30" s="2">
        <v>62.5</v>
      </c>
      <c r="K30" s="2">
        <v>250</v>
      </c>
      <c r="L30" s="2"/>
      <c r="M30" s="2">
        <v>16.615979539227599</v>
      </c>
      <c r="N30" s="2">
        <v>2.95162302</v>
      </c>
      <c r="O30" s="2">
        <v>101.332985063224</v>
      </c>
      <c r="P30" s="2">
        <v>14.327156670000001</v>
      </c>
      <c r="Q30" s="2">
        <v>-7.4999999999999997E-2</v>
      </c>
      <c r="R30" s="2">
        <v>1.3333333333299999</v>
      </c>
      <c r="S30" s="2">
        <v>14.285714285699999</v>
      </c>
      <c r="T30" s="2">
        <v>57</v>
      </c>
      <c r="U30" s="2">
        <v>215</v>
      </c>
    </row>
    <row r="31" spans="1:21" x14ac:dyDescent="0.45">
      <c r="A31">
        <v>1991</v>
      </c>
      <c r="C31" s="2">
        <v>21.718229999999998</v>
      </c>
      <c r="D31" s="2">
        <v>2.54465114</v>
      </c>
      <c r="E31" s="2">
        <v>57.912390000000002</v>
      </c>
      <c r="F31" s="2">
        <v>6.0741481999999998</v>
      </c>
      <c r="G31" s="2">
        <v>0</v>
      </c>
      <c r="H31" s="2">
        <v>0</v>
      </c>
      <c r="I31" s="2">
        <v>13.333333</v>
      </c>
      <c r="J31" s="2">
        <v>50</v>
      </c>
      <c r="K31" s="2">
        <v>127.777778</v>
      </c>
      <c r="L31" s="2"/>
      <c r="M31" s="2">
        <v>20.659997493373801</v>
      </c>
      <c r="N31" s="2">
        <v>2.0123809800000001</v>
      </c>
      <c r="O31" s="2">
        <v>67.203917143900597</v>
      </c>
      <c r="P31" s="2">
        <v>21.242377189999999</v>
      </c>
      <c r="Q31" s="2">
        <v>0</v>
      </c>
      <c r="R31" s="2">
        <v>0</v>
      </c>
      <c r="S31" s="2">
        <v>13.157894736799999</v>
      </c>
      <c r="T31" s="2">
        <v>43.636363636399999</v>
      </c>
      <c r="U31" s="2">
        <v>108.333333333</v>
      </c>
    </row>
    <row r="32" spans="1:21" x14ac:dyDescent="0.45">
      <c r="A32">
        <v>1994</v>
      </c>
      <c r="C32" s="2">
        <v>32.16686</v>
      </c>
      <c r="D32" s="2">
        <v>14.45879263</v>
      </c>
      <c r="E32" s="2">
        <v>80.791556999999997</v>
      </c>
      <c r="F32" s="2">
        <v>22.372569810000002</v>
      </c>
      <c r="G32" s="2">
        <v>0</v>
      </c>
      <c r="H32" s="2">
        <v>1.1000000000000001</v>
      </c>
      <c r="I32" s="2">
        <v>20</v>
      </c>
      <c r="J32" s="2">
        <v>64</v>
      </c>
      <c r="K32" s="2">
        <v>166.66666699999999</v>
      </c>
      <c r="L32" s="2"/>
      <c r="M32" s="2">
        <v>31.454519342595098</v>
      </c>
      <c r="N32" s="2">
        <v>11.85570791</v>
      </c>
      <c r="O32" s="2">
        <v>80.764089174680905</v>
      </c>
      <c r="P32" s="2">
        <v>19.160018050000001</v>
      </c>
      <c r="Q32" s="2">
        <v>0</v>
      </c>
      <c r="R32" s="2">
        <v>1.1000000000000001</v>
      </c>
      <c r="S32" s="2">
        <v>19.047619047600001</v>
      </c>
      <c r="T32" s="2">
        <v>62.857142857100001</v>
      </c>
      <c r="U32" s="2">
        <v>180</v>
      </c>
    </row>
    <row r="33" spans="1:21" x14ac:dyDescent="0.45">
      <c r="A33">
        <v>1997</v>
      </c>
      <c r="C33" s="2">
        <v>22.504580000000001</v>
      </c>
      <c r="D33" s="2">
        <v>1.97472471</v>
      </c>
      <c r="E33" s="2">
        <v>135.49525120000001</v>
      </c>
      <c r="F33" s="2">
        <v>19.136141299999998</v>
      </c>
      <c r="G33" s="2">
        <v>0</v>
      </c>
      <c r="H33" s="2">
        <v>1.071429</v>
      </c>
      <c r="I33" s="2">
        <v>24.516128999999999</v>
      </c>
      <c r="J33" s="2">
        <v>93</v>
      </c>
      <c r="K33" s="2">
        <v>225</v>
      </c>
      <c r="L33" s="2"/>
      <c r="M33" s="2">
        <v>20.571304129337499</v>
      </c>
      <c r="N33" s="2">
        <v>1.5329926300000001</v>
      </c>
      <c r="O33" s="2">
        <v>148.91047450692699</v>
      </c>
      <c r="P33" s="2">
        <v>21.77720888</v>
      </c>
      <c r="Q33" s="2">
        <v>0</v>
      </c>
      <c r="R33" s="2">
        <v>1.7142857142900001</v>
      </c>
      <c r="S33" s="2">
        <v>24.671052631599999</v>
      </c>
      <c r="T33" s="2">
        <v>86.666666666699996</v>
      </c>
      <c r="U33" s="2">
        <v>223.33333333300001</v>
      </c>
    </row>
    <row r="34" spans="1:21" x14ac:dyDescent="0.45">
      <c r="A34">
        <v>2000</v>
      </c>
      <c r="C34" s="2">
        <v>21.346519399999998</v>
      </c>
      <c r="D34" s="2">
        <v>1.9219147000000001</v>
      </c>
      <c r="E34" s="2">
        <v>113.9436</v>
      </c>
      <c r="F34" s="2">
        <v>45.449440590000002</v>
      </c>
      <c r="G34" s="2">
        <v>0</v>
      </c>
      <c r="H34" s="2">
        <v>1.25</v>
      </c>
      <c r="I34" s="2">
        <v>21</v>
      </c>
      <c r="J34" s="2">
        <v>62.857143000000001</v>
      </c>
      <c r="K34" s="2">
        <v>150</v>
      </c>
      <c r="L34" s="2"/>
      <c r="M34" s="2">
        <v>22.6376268441836</v>
      </c>
      <c r="N34" s="2">
        <v>2.15757837</v>
      </c>
      <c r="O34" s="2">
        <v>114.392893292468</v>
      </c>
      <c r="P34" s="2">
        <v>26.155780650000001</v>
      </c>
      <c r="Q34" s="2">
        <v>0</v>
      </c>
      <c r="R34" s="2">
        <v>1.64</v>
      </c>
      <c r="S34" s="2">
        <v>20</v>
      </c>
      <c r="T34" s="2">
        <v>62.333333333299997</v>
      </c>
      <c r="U34" s="2">
        <v>152.173913043</v>
      </c>
    </row>
    <row r="35" spans="1:21" x14ac:dyDescent="0.45">
      <c r="A35">
        <v>2003</v>
      </c>
      <c r="C35" s="2">
        <v>18.831743800000002</v>
      </c>
      <c r="D35" s="2">
        <v>1.82323452</v>
      </c>
      <c r="E35" s="2">
        <v>101.37728</v>
      </c>
      <c r="F35" s="2">
        <v>17.438354780000001</v>
      </c>
      <c r="G35" s="2">
        <v>0</v>
      </c>
      <c r="H35" s="2">
        <v>1</v>
      </c>
      <c r="I35" s="2">
        <v>17.358491000000001</v>
      </c>
      <c r="J35" s="2">
        <v>53.666666999999997</v>
      </c>
      <c r="K35" s="2">
        <v>142</v>
      </c>
      <c r="L35" s="2"/>
      <c r="M35" s="2">
        <v>17.6911488996505</v>
      </c>
      <c r="N35" s="2">
        <v>1.5742598800000001</v>
      </c>
      <c r="O35" s="2">
        <v>81.071277131387305</v>
      </c>
      <c r="P35" s="2">
        <v>15.6791696</v>
      </c>
      <c r="Q35" s="2">
        <v>0</v>
      </c>
      <c r="R35" s="2">
        <v>0.15</v>
      </c>
      <c r="S35" s="2">
        <v>14.880952381</v>
      </c>
      <c r="T35" s="2">
        <v>50</v>
      </c>
      <c r="U35" s="2">
        <v>133.33333333300001</v>
      </c>
    </row>
    <row r="36" spans="1:21" x14ac:dyDescent="0.45">
      <c r="A36">
        <v>2006</v>
      </c>
      <c r="C36" s="2">
        <v>18.356462000000001</v>
      </c>
      <c r="D36" s="2">
        <v>3.0164350299999998</v>
      </c>
      <c r="E36" s="2">
        <v>183.66469000000001</v>
      </c>
      <c r="F36" s="2">
        <v>51.878939629999998</v>
      </c>
      <c r="G36" s="2">
        <v>0</v>
      </c>
      <c r="H36" s="2">
        <v>2</v>
      </c>
      <c r="I36" s="2">
        <v>22</v>
      </c>
      <c r="J36" s="2">
        <v>80</v>
      </c>
      <c r="K36" s="2">
        <v>234</v>
      </c>
      <c r="L36" s="2"/>
      <c r="M36" s="2">
        <v>18.087203451420098</v>
      </c>
      <c r="N36" s="2">
        <v>2.61931286</v>
      </c>
      <c r="O36" s="2">
        <v>171.73557204447599</v>
      </c>
      <c r="P36" s="2">
        <v>48.50319425</v>
      </c>
      <c r="Q36" s="2">
        <v>0</v>
      </c>
      <c r="R36" s="2">
        <v>1.6</v>
      </c>
      <c r="S36" s="2">
        <v>20</v>
      </c>
      <c r="T36" s="2">
        <v>73.333333333300004</v>
      </c>
      <c r="U36" s="2">
        <v>208</v>
      </c>
    </row>
    <row r="37" spans="1:21" x14ac:dyDescent="0.45">
      <c r="A37">
        <v>2009</v>
      </c>
      <c r="C37" s="2">
        <v>15.331688</v>
      </c>
      <c r="D37" s="2">
        <v>1.0767129099999999</v>
      </c>
      <c r="E37" s="2">
        <v>116.862377</v>
      </c>
      <c r="F37" s="2">
        <v>23.576694379999999</v>
      </c>
      <c r="G37" s="2">
        <v>-1.6</v>
      </c>
      <c r="H37" s="2">
        <v>0</v>
      </c>
      <c r="I37" s="2">
        <v>17.5</v>
      </c>
      <c r="J37" s="2">
        <v>75</v>
      </c>
      <c r="K37" s="2">
        <v>200</v>
      </c>
      <c r="L37" s="2"/>
      <c r="M37" s="2">
        <v>14.8088926810078</v>
      </c>
      <c r="N37" s="2">
        <v>1.07803234</v>
      </c>
      <c r="O37" s="2">
        <v>111.72196081323</v>
      </c>
      <c r="P37" s="2">
        <v>21.115597520000001</v>
      </c>
      <c r="Q37" s="2">
        <v>-1.1666666666700001</v>
      </c>
      <c r="R37" s="2">
        <v>0</v>
      </c>
      <c r="S37" s="2">
        <v>16</v>
      </c>
      <c r="T37" s="2">
        <v>70</v>
      </c>
      <c r="U37" s="2">
        <v>195.65217391300001</v>
      </c>
    </row>
    <row r="38" spans="1:21" x14ac:dyDescent="0.45">
      <c r="A38">
        <v>2012</v>
      </c>
      <c r="C38" s="2">
        <v>13.9204442</v>
      </c>
      <c r="D38" s="2">
        <v>0.73410861999999999</v>
      </c>
      <c r="E38" s="2">
        <v>67.130840000000006</v>
      </c>
      <c r="F38" s="2">
        <v>6.1998845100000004</v>
      </c>
      <c r="G38" s="2">
        <v>0</v>
      </c>
      <c r="H38" s="2">
        <v>0</v>
      </c>
      <c r="I38" s="2">
        <v>15</v>
      </c>
      <c r="J38" s="2">
        <v>60</v>
      </c>
      <c r="K38" s="2">
        <v>156</v>
      </c>
      <c r="L38" s="2"/>
      <c r="M38" s="2">
        <v>14.1235389227572</v>
      </c>
      <c r="N38" s="2">
        <v>0.75654863999999999</v>
      </c>
      <c r="O38" s="2">
        <v>66.246061185941599</v>
      </c>
      <c r="P38" s="2">
        <v>5.6864437900000002</v>
      </c>
      <c r="Q38" s="2">
        <v>0</v>
      </c>
      <c r="R38" s="2">
        <v>0</v>
      </c>
      <c r="S38" s="2">
        <v>15</v>
      </c>
      <c r="T38" s="2">
        <v>60</v>
      </c>
      <c r="U38" s="2">
        <v>160</v>
      </c>
    </row>
    <row r="39" spans="1:21" x14ac:dyDescent="0.45">
      <c r="A39">
        <v>2015</v>
      </c>
      <c r="C39" s="2">
        <v>15.140499</v>
      </c>
      <c r="D39" s="2">
        <v>1.74635527</v>
      </c>
      <c r="E39" s="2">
        <v>84.417307410999996</v>
      </c>
      <c r="F39" s="2">
        <v>27.51896687</v>
      </c>
      <c r="G39" s="2">
        <v>0</v>
      </c>
      <c r="H39" s="2">
        <v>2</v>
      </c>
      <c r="I39" s="2">
        <v>20</v>
      </c>
      <c r="J39" s="2">
        <v>65</v>
      </c>
      <c r="K39" s="2">
        <v>166.66666699999999</v>
      </c>
      <c r="L39" s="2"/>
      <c r="M39" s="2">
        <v>14.5817567205629</v>
      </c>
      <c r="N39" s="2">
        <v>1.5896668899999999</v>
      </c>
      <c r="O39" s="2">
        <v>81.549956681110999</v>
      </c>
      <c r="P39" s="2">
        <v>29.811927650000001</v>
      </c>
      <c r="Q39" s="2">
        <v>0</v>
      </c>
      <c r="R39" s="2">
        <v>1.81818181818</v>
      </c>
      <c r="S39" s="2">
        <v>19.354838709700001</v>
      </c>
      <c r="T39" s="2">
        <v>64</v>
      </c>
      <c r="U39" s="2">
        <v>160</v>
      </c>
    </row>
    <row r="40" spans="1:21" x14ac:dyDescent="0.45">
      <c r="M40" s="2"/>
      <c r="N40" s="2"/>
      <c r="O40" s="2"/>
      <c r="P40" s="2"/>
      <c r="Q40" s="2"/>
      <c r="R40" s="2"/>
      <c r="S40" s="2"/>
      <c r="T40" s="2"/>
      <c r="U40" s="2"/>
    </row>
  </sheetData>
  <mergeCells count="6">
    <mergeCell ref="C1:K1"/>
    <mergeCell ref="M1:U1"/>
    <mergeCell ref="C15:K15"/>
    <mergeCell ref="M15:U15"/>
    <mergeCell ref="C28:K28"/>
    <mergeCell ref="M28:U28"/>
  </mergeCells>
  <pageMargins left="0.7" right="0.7" top="0.75" bottom="0.75" header="0.51180555555555496" footer="0.51180555555555496"/>
  <pageSetup scale="48" firstPageNumber="0" orientation="portrait" horizontalDpi="4294967295" verticalDpi="4294967295"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G14"/>
  <sheetViews>
    <sheetView zoomScaleNormal="100" workbookViewId="0">
      <selection activeCell="H20" sqref="H20"/>
    </sheetView>
  </sheetViews>
  <sheetFormatPr defaultRowHeight="14.25" x14ac:dyDescent="0.45"/>
  <cols>
    <col min="1" max="1" width="11.59765625"/>
    <col min="2" max="2" width="9.86328125"/>
    <col min="3" max="3" width="11.59765625"/>
    <col min="4" max="4" width="6.86328125"/>
    <col min="5" max="5" width="13.1328125"/>
    <col min="6" max="6" width="15.1328125"/>
    <col min="7" max="7" width="14.1328125"/>
    <col min="8" max="1025" width="8.3984375"/>
  </cols>
  <sheetData>
    <row r="1" spans="1:7" x14ac:dyDescent="0.45">
      <c r="B1" s="92" t="s">
        <v>131</v>
      </c>
      <c r="C1" s="92"/>
      <c r="D1" s="92"/>
      <c r="E1" s="92"/>
      <c r="F1" s="92"/>
      <c r="G1" s="92"/>
    </row>
    <row r="2" spans="1:7" x14ac:dyDescent="0.45">
      <c r="A2" t="s">
        <v>132</v>
      </c>
      <c r="B2" s="1" t="s">
        <v>133</v>
      </c>
      <c r="C2" t="s">
        <v>134</v>
      </c>
      <c r="D2" t="s">
        <v>135</v>
      </c>
      <c r="E2" t="s">
        <v>136</v>
      </c>
      <c r="F2" t="s">
        <v>137</v>
      </c>
      <c r="G2" t="s">
        <v>138</v>
      </c>
    </row>
    <row r="3" spans="1:7" x14ac:dyDescent="0.45">
      <c r="A3">
        <v>1989</v>
      </c>
      <c r="B3" t="s">
        <v>139</v>
      </c>
      <c r="C3" t="s">
        <v>139</v>
      </c>
      <c r="D3" t="s">
        <v>139</v>
      </c>
      <c r="E3" t="s">
        <v>139</v>
      </c>
      <c r="F3" t="s">
        <v>139</v>
      </c>
      <c r="G3" t="s">
        <v>139</v>
      </c>
    </row>
    <row r="4" spans="1:7" x14ac:dyDescent="0.45">
      <c r="A4">
        <v>1992</v>
      </c>
      <c r="B4" s="28">
        <v>-1.55828650852951E-2</v>
      </c>
      <c r="C4" s="28">
        <v>-8.6656813272090205E-4</v>
      </c>
      <c r="D4" s="28">
        <v>9.3562797559403998E-2</v>
      </c>
      <c r="E4" s="28">
        <v>-4.2158133637803102E-2</v>
      </c>
      <c r="F4" s="28">
        <v>1.9264770694512399E-2</v>
      </c>
      <c r="G4" s="28">
        <v>1.76341344118769E-3</v>
      </c>
    </row>
    <row r="5" spans="1:7" x14ac:dyDescent="0.45">
      <c r="A5">
        <v>1995</v>
      </c>
      <c r="B5" s="28">
        <v>-4.7311811265371297E-2</v>
      </c>
      <c r="C5" s="28">
        <v>6.6098287774845096E-2</v>
      </c>
      <c r="D5" s="28">
        <v>0.229389214025221</v>
      </c>
      <c r="E5" s="28">
        <v>-5.8057479173453198E-2</v>
      </c>
      <c r="F5" s="28">
        <v>8.6806122145699702E-2</v>
      </c>
      <c r="G5" s="28">
        <v>5.2866644674362903E-2</v>
      </c>
    </row>
    <row r="6" spans="1:7" x14ac:dyDescent="0.45">
      <c r="A6">
        <v>1998</v>
      </c>
      <c r="B6" s="28">
        <v>8.5029743002194499E-2</v>
      </c>
      <c r="C6" s="28">
        <v>0.10269805307303501</v>
      </c>
      <c r="D6" s="28">
        <v>4.1975631988548902E-2</v>
      </c>
      <c r="E6" s="28">
        <v>0.27321258912562202</v>
      </c>
      <c r="F6" s="28">
        <v>7.0735439338534906E-2</v>
      </c>
      <c r="G6" s="28">
        <v>0.114249798122715</v>
      </c>
    </row>
    <row r="7" spans="1:7" x14ac:dyDescent="0.45">
      <c r="A7">
        <v>2001</v>
      </c>
      <c r="B7" s="28">
        <v>0.11690851057028701</v>
      </c>
      <c r="C7" s="28">
        <v>0.144045669568822</v>
      </c>
      <c r="D7" s="28">
        <v>0.14080143266950501</v>
      </c>
      <c r="E7" s="28">
        <v>6.5660405533472896E-2</v>
      </c>
      <c r="F7" s="28">
        <v>0.13542320392544799</v>
      </c>
      <c r="G7" s="28">
        <v>0.116897993261766</v>
      </c>
    </row>
    <row r="8" spans="1:7" x14ac:dyDescent="0.45">
      <c r="A8">
        <v>2004</v>
      </c>
      <c r="B8" s="28">
        <v>-5.45587462260161E-2</v>
      </c>
      <c r="C8" s="28">
        <v>0.171078448271822</v>
      </c>
      <c r="D8" s="28">
        <v>0.14129869304645401</v>
      </c>
      <c r="E8" s="28">
        <v>-9.1019921240132307E-2</v>
      </c>
      <c r="F8" s="28">
        <v>0.10744504616871001</v>
      </c>
      <c r="G8" s="28">
        <v>6.6076028148966501E-2</v>
      </c>
    </row>
    <row r="9" spans="1:7" x14ac:dyDescent="0.45">
      <c r="A9">
        <v>2007</v>
      </c>
      <c r="B9" s="28">
        <v>6.07298727729155E-2</v>
      </c>
      <c r="C9" s="28">
        <v>0.31426441404261601</v>
      </c>
      <c r="D9" s="28">
        <v>5.8089076602775298E-2</v>
      </c>
      <c r="E9" s="28">
        <v>0.12146269119999201</v>
      </c>
      <c r="F9" s="28">
        <v>0.16584348495193099</v>
      </c>
      <c r="G9" s="28">
        <v>0.159415718896282</v>
      </c>
    </row>
    <row r="10" spans="1:7" x14ac:dyDescent="0.45">
      <c r="A10">
        <v>2010</v>
      </c>
      <c r="B10" s="28">
        <v>-3.6959215095006001E-3</v>
      </c>
      <c r="C10" s="28">
        <v>-9.0915696704114299E-2</v>
      </c>
      <c r="D10" s="28">
        <v>-9.0506923007082102E-2</v>
      </c>
      <c r="E10" s="28">
        <v>-7.5850354242628495E-2</v>
      </c>
      <c r="F10" s="28">
        <v>-7.9331495585922798E-2</v>
      </c>
      <c r="G10" s="28">
        <v>-7.8858472537894894E-2</v>
      </c>
    </row>
    <row r="11" spans="1:7" x14ac:dyDescent="0.45">
      <c r="A11">
        <v>2013</v>
      </c>
      <c r="B11" s="28">
        <v>-7.5992228782683094E-2</v>
      </c>
      <c r="C11" s="28">
        <v>6.6970475623503695E-2</v>
      </c>
      <c r="D11" s="28">
        <v>1.31471215925885E-2</v>
      </c>
      <c r="E11" s="28">
        <v>3.1223726394013201E-2</v>
      </c>
      <c r="F11" s="28">
        <v>2.9134785472378001E-2</v>
      </c>
      <c r="G11" s="28">
        <v>2.9420990408300499E-2</v>
      </c>
    </row>
    <row r="12" spans="1:7" x14ac:dyDescent="0.45">
      <c r="A12">
        <v>2016</v>
      </c>
      <c r="B12" s="28">
        <v>9.8928916465714306E-2</v>
      </c>
      <c r="C12" s="28">
        <v>0.14371109958658601</v>
      </c>
      <c r="D12" s="28">
        <v>0.120107940541043</v>
      </c>
      <c r="E12" s="28">
        <v>0.109437532549786</v>
      </c>
      <c r="F12" s="28">
        <v>0.131294868269378</v>
      </c>
      <c r="G12" s="28">
        <v>0.12833968475275201</v>
      </c>
    </row>
    <row r="14" spans="1:7" x14ac:dyDescent="0.45">
      <c r="A14" t="s">
        <v>140</v>
      </c>
    </row>
  </sheetData>
  <mergeCells count="1">
    <mergeCell ref="B1:G1"/>
  </mergeCells>
  <pageMargins left="0.7" right="0.7" top="0.75" bottom="0.75" header="0.51180555555555496" footer="0.51180555555555496"/>
  <pageSetup scale="91" firstPageNumber="0" orientation="portrait" horizontalDpi="4294967295" verticalDpi="4294967295"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I14"/>
  <sheetViews>
    <sheetView topLeftCell="A10" workbookViewId="0">
      <selection activeCell="A12" sqref="A12:I14"/>
    </sheetView>
  </sheetViews>
  <sheetFormatPr defaultColWidth="9.1328125" defaultRowHeight="14.25" x14ac:dyDescent="0.45"/>
  <cols>
    <col min="1" max="16384" width="9.1328125" style="60"/>
  </cols>
  <sheetData>
    <row r="1" spans="1:9" x14ac:dyDescent="0.45">
      <c r="A1" s="60" t="s">
        <v>141</v>
      </c>
      <c r="B1" s="60" t="s">
        <v>142</v>
      </c>
      <c r="C1" s="60" t="s">
        <v>143</v>
      </c>
      <c r="D1" s="60" t="s">
        <v>144</v>
      </c>
      <c r="E1" s="60" t="s">
        <v>130</v>
      </c>
      <c r="F1" s="60" t="s">
        <v>129</v>
      </c>
      <c r="G1" s="60" t="s">
        <v>128</v>
      </c>
      <c r="H1" s="60" t="s">
        <v>49</v>
      </c>
      <c r="I1" s="60" t="s">
        <v>127</v>
      </c>
    </row>
    <row r="2" spans="1:9" x14ac:dyDescent="0.45">
      <c r="A2" s="60">
        <v>1988</v>
      </c>
      <c r="B2" s="60">
        <v>5268</v>
      </c>
      <c r="C2" s="64">
        <v>-6.4753720692904707E-2</v>
      </c>
      <c r="D2" s="64">
        <v>0.124336062189846</v>
      </c>
      <c r="E2" s="64">
        <v>0.19371211215369</v>
      </c>
      <c r="F2" s="64">
        <v>0.14051652459918501</v>
      </c>
      <c r="G2" s="64">
        <v>7.8230626088494501E-2</v>
      </c>
      <c r="H2" s="64">
        <v>-6.3410341743625198E-2</v>
      </c>
      <c r="I2" s="64">
        <v>-0.34605402883085701</v>
      </c>
    </row>
    <row r="3" spans="1:9" x14ac:dyDescent="0.45">
      <c r="A3" s="60">
        <v>1991</v>
      </c>
      <c r="B3" s="60">
        <v>5161</v>
      </c>
      <c r="C3" s="64">
        <v>-0.17812399887654101</v>
      </c>
      <c r="D3" s="64">
        <v>6.1863766300052997E-2</v>
      </c>
      <c r="E3" s="64">
        <v>0.15632987707665499</v>
      </c>
      <c r="F3" s="64">
        <v>0.10311584493448001</v>
      </c>
      <c r="G3" s="64">
        <v>4.9283013006253901E-2</v>
      </c>
      <c r="H3" s="64">
        <v>-7.1173370892223004E-2</v>
      </c>
      <c r="I3" s="64">
        <v>-0.48933601609657901</v>
      </c>
    </row>
    <row r="4" spans="1:9" x14ac:dyDescent="0.45">
      <c r="A4" s="60">
        <v>1994</v>
      </c>
      <c r="B4" s="60">
        <v>6788</v>
      </c>
      <c r="C4" s="64">
        <v>-1.2226726890892801E-2</v>
      </c>
      <c r="D4" s="64">
        <v>9.8174823029999095E-2</v>
      </c>
      <c r="E4" s="64">
        <v>0.17371217048826501</v>
      </c>
      <c r="F4" s="64">
        <v>0.12575337272425899</v>
      </c>
      <c r="G4" s="64">
        <v>7.3897229166885098E-2</v>
      </c>
      <c r="H4" s="64">
        <v>-1.75748086666094E-2</v>
      </c>
      <c r="I4" s="64">
        <v>-0.247580742691596</v>
      </c>
    </row>
    <row r="5" spans="1:9" x14ac:dyDescent="0.45">
      <c r="A5" s="60">
        <v>1997</v>
      </c>
      <c r="B5" s="60">
        <v>7291</v>
      </c>
      <c r="C5" s="64">
        <v>-4.7092500199468597E-2</v>
      </c>
      <c r="D5" s="64">
        <v>6.2074661896714699E-2</v>
      </c>
      <c r="E5" s="64">
        <v>0.123436354968904</v>
      </c>
      <c r="F5" s="64">
        <v>9.0275961808112107E-2</v>
      </c>
      <c r="G5" s="64">
        <v>5.1859265532373501E-2</v>
      </c>
      <c r="H5" s="64">
        <v>-4.32513495768619E-2</v>
      </c>
      <c r="I5" s="64">
        <v>-0.263591378455169</v>
      </c>
    </row>
    <row r="6" spans="1:9" x14ac:dyDescent="0.45">
      <c r="A6" s="60">
        <v>2000</v>
      </c>
      <c r="B6" s="60">
        <v>6396</v>
      </c>
      <c r="C6" s="64">
        <v>-0.27578949979637901</v>
      </c>
      <c r="D6" s="64">
        <v>4.6411347466853103E-2</v>
      </c>
      <c r="E6" s="64">
        <v>0.197479872045731</v>
      </c>
      <c r="F6" s="64">
        <v>0.12447737352923099</v>
      </c>
      <c r="G6" s="64">
        <v>4.8190835386719998E-2</v>
      </c>
      <c r="H6" s="64">
        <v>-0.118605657956509</v>
      </c>
      <c r="I6" s="64">
        <v>-0.75283720534378895</v>
      </c>
    </row>
    <row r="7" spans="1:9" x14ac:dyDescent="0.45">
      <c r="A7" s="60">
        <v>2003</v>
      </c>
      <c r="B7" s="60">
        <v>5057</v>
      </c>
      <c r="C7" s="64">
        <v>-1.4557904548364E-2</v>
      </c>
      <c r="D7" s="64">
        <v>6.1808723532462799E-2</v>
      </c>
      <c r="E7" s="64">
        <v>0.11915310030972801</v>
      </c>
      <c r="F7" s="64">
        <v>8.7708557776019699E-2</v>
      </c>
      <c r="G7" s="64">
        <v>4.8113692410885901E-2</v>
      </c>
      <c r="H7" s="64">
        <v>-3.2297220387724701E-2</v>
      </c>
      <c r="I7" s="64">
        <v>-0.195183487368525</v>
      </c>
    </row>
    <row r="8" spans="1:9" x14ac:dyDescent="0.45">
      <c r="A8" s="60">
        <v>2006</v>
      </c>
      <c r="B8" s="60">
        <v>4813</v>
      </c>
      <c r="C8" s="64">
        <v>3.32681438204013E-3</v>
      </c>
      <c r="D8" s="64">
        <v>7.9717640039687204E-2</v>
      </c>
      <c r="E8" s="64">
        <v>0.121191697965553</v>
      </c>
      <c r="F8" s="64">
        <v>8.8385820474114002E-2</v>
      </c>
      <c r="G8" s="64">
        <v>5.4469546547641801E-2</v>
      </c>
      <c r="H8" s="64">
        <v>-6.0028278970912603E-3</v>
      </c>
      <c r="I8" s="64">
        <v>-0.159974674934727</v>
      </c>
    </row>
    <row r="9" spans="1:9" x14ac:dyDescent="0.45">
      <c r="A9" s="60">
        <v>2009</v>
      </c>
      <c r="B9" s="60">
        <v>4210</v>
      </c>
      <c r="C9" s="64">
        <v>-0.162357243969947</v>
      </c>
      <c r="D9" s="64">
        <v>5.6758161541310602E-2</v>
      </c>
      <c r="E9" s="64">
        <v>0.135849211870644</v>
      </c>
      <c r="F9" s="64">
        <v>8.95537968495803E-2</v>
      </c>
      <c r="G9" s="64">
        <v>3.1154060757454499E-2</v>
      </c>
      <c r="H9" s="64">
        <v>-0.116812954665987</v>
      </c>
      <c r="I9" s="64">
        <v>-0.50231128254911905</v>
      </c>
    </row>
    <row r="10" spans="1:9" x14ac:dyDescent="0.45">
      <c r="A10" s="60">
        <v>2012</v>
      </c>
      <c r="B10" s="60">
        <v>3897</v>
      </c>
      <c r="C10" s="64">
        <v>-2.3285464376682299E-2</v>
      </c>
      <c r="D10" s="64">
        <v>7.9632494215262098E-2</v>
      </c>
      <c r="E10" s="64">
        <v>0.15191249575493801</v>
      </c>
      <c r="F10" s="64">
        <v>0.104524415964255</v>
      </c>
      <c r="G10" s="64">
        <v>5.98793257238436E-2</v>
      </c>
      <c r="H10" s="64">
        <v>-1.7991921438767201E-2</v>
      </c>
      <c r="I10" s="64">
        <v>-0.243603440630458</v>
      </c>
    </row>
    <row r="11" spans="1:9" x14ac:dyDescent="0.45">
      <c r="A11" s="60">
        <v>2015</v>
      </c>
      <c r="B11" s="60">
        <v>4062</v>
      </c>
      <c r="C11" s="64">
        <v>-0.148564960001626</v>
      </c>
      <c r="D11" s="64">
        <v>5.4431502344866101E-2</v>
      </c>
      <c r="E11" s="64">
        <v>0.120207761235242</v>
      </c>
      <c r="F11" s="64">
        <v>8.4278211325206603E-2</v>
      </c>
      <c r="G11" s="64">
        <v>4.12772448471189E-2</v>
      </c>
      <c r="H11" s="64">
        <v>-6.6205411559234095E-2</v>
      </c>
      <c r="I11" s="64">
        <v>-0.36999310242529498</v>
      </c>
    </row>
    <row r="12" spans="1:9" x14ac:dyDescent="0.45">
      <c r="A12" s="63" t="s">
        <v>294</v>
      </c>
      <c r="C12" s="65">
        <f>AVERAGE(C2:C11)</f>
        <v>-9.2342520497076544E-2</v>
      </c>
      <c r="D12" s="65">
        <f t="shared" ref="D12:I12" si="0">AVERAGE(D2:D11)</f>
        <v>7.2520918255705474E-2</v>
      </c>
      <c r="E12" s="65">
        <f t="shared" si="0"/>
        <v>0.149298465386935</v>
      </c>
      <c r="F12" s="65">
        <f t="shared" si="0"/>
        <v>0.10385898799844426</v>
      </c>
      <c r="G12" s="65">
        <f t="shared" si="0"/>
        <v>5.3635483946767169E-2</v>
      </c>
      <c r="H12" s="65">
        <f t="shared" si="0"/>
        <v>-5.5332586478463286E-2</v>
      </c>
      <c r="I12" s="65">
        <f t="shared" si="0"/>
        <v>-0.35704653593261143</v>
      </c>
    </row>
    <row r="13" spans="1:9" x14ac:dyDescent="0.45">
      <c r="A13" s="63" t="s">
        <v>194</v>
      </c>
      <c r="C13" s="65">
        <f>MIN(C2:C11)</f>
        <v>-0.27578949979637901</v>
      </c>
      <c r="D13" s="65">
        <f t="shared" ref="D13:I13" si="1">MIN(D2:D11)</f>
        <v>4.6411347466853103E-2</v>
      </c>
      <c r="E13" s="65">
        <f t="shared" si="1"/>
        <v>0.11915310030972801</v>
      </c>
      <c r="F13" s="65">
        <f t="shared" si="1"/>
        <v>8.4278211325206603E-2</v>
      </c>
      <c r="G13" s="65">
        <f t="shared" si="1"/>
        <v>3.1154060757454499E-2</v>
      </c>
      <c r="H13" s="65">
        <f t="shared" si="1"/>
        <v>-0.118605657956509</v>
      </c>
      <c r="I13" s="65">
        <f t="shared" si="1"/>
        <v>-0.75283720534378895</v>
      </c>
    </row>
    <row r="14" spans="1:9" x14ac:dyDescent="0.45">
      <c r="A14" s="63" t="s">
        <v>195</v>
      </c>
      <c r="C14" s="65">
        <f>MAX(C2:C11)</f>
        <v>3.32681438204013E-3</v>
      </c>
      <c r="D14" s="65">
        <f t="shared" ref="D14:I14" si="2">MAX(D2:D11)</f>
        <v>0.124336062189846</v>
      </c>
      <c r="E14" s="65">
        <f t="shared" si="2"/>
        <v>0.197479872045731</v>
      </c>
      <c r="F14" s="65">
        <f t="shared" si="2"/>
        <v>0.14051652459918501</v>
      </c>
      <c r="G14" s="65">
        <f t="shared" si="2"/>
        <v>7.8230626088494501E-2</v>
      </c>
      <c r="H14" s="65">
        <f t="shared" si="2"/>
        <v>-6.0028278970912603E-3</v>
      </c>
      <c r="I14" s="65">
        <f t="shared" si="2"/>
        <v>-0.159974674934727</v>
      </c>
    </row>
  </sheetData>
  <pageMargins left="0.7" right="0.7" top="0.75" bottom="0.75" header="0.3" footer="0.3"/>
  <pageSetup orientation="portrait" horizontalDpi="4294967295" verticalDpi="4294967295"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I14"/>
  <sheetViews>
    <sheetView workbookViewId="0">
      <selection activeCell="G11" sqref="G11"/>
    </sheetView>
  </sheetViews>
  <sheetFormatPr defaultColWidth="9.1328125" defaultRowHeight="14.25" x14ac:dyDescent="0.45"/>
  <cols>
    <col min="1" max="16384" width="9.1328125" style="60"/>
  </cols>
  <sheetData>
    <row r="1" spans="1:9" x14ac:dyDescent="0.45">
      <c r="A1" s="60" t="s">
        <v>141</v>
      </c>
      <c r="B1" s="60" t="s">
        <v>142</v>
      </c>
      <c r="C1" s="60" t="s">
        <v>143</v>
      </c>
      <c r="D1" s="60" t="s">
        <v>144</v>
      </c>
      <c r="E1" s="60" t="s">
        <v>130</v>
      </c>
      <c r="F1" s="60" t="s">
        <v>129</v>
      </c>
      <c r="G1" s="60" t="s">
        <v>128</v>
      </c>
      <c r="H1" s="60" t="s">
        <v>49</v>
      </c>
      <c r="I1" s="60" t="s">
        <v>127</v>
      </c>
    </row>
    <row r="2" spans="1:9" x14ac:dyDescent="0.45">
      <c r="A2" s="60">
        <v>1988</v>
      </c>
      <c r="B2" s="60">
        <v>1053</v>
      </c>
      <c r="C2" s="65">
        <v>-0.43595747637885401</v>
      </c>
      <c r="D2" s="65">
        <v>-0.26996709767375698</v>
      </c>
      <c r="E2" s="65">
        <v>0.17872980118338899</v>
      </c>
      <c r="F2" s="65">
        <v>6.08628659476117E-2</v>
      </c>
      <c r="G2" s="65">
        <v>-0.142824134205804</v>
      </c>
      <c r="H2" s="65">
        <v>-0.52333634193155398</v>
      </c>
      <c r="I2" s="65">
        <v>-1.56528334591631</v>
      </c>
    </row>
    <row r="3" spans="1:9" x14ac:dyDescent="0.45">
      <c r="A3" s="60">
        <v>1991</v>
      </c>
      <c r="B3" s="60">
        <v>1032</v>
      </c>
      <c r="C3" s="65">
        <v>-0.72854779176308304</v>
      </c>
      <c r="D3" s="65">
        <v>-0.48991115966926702</v>
      </c>
      <c r="E3" s="65">
        <v>0.173996482428972</v>
      </c>
      <c r="F3" s="65">
        <v>5.0775567863936402E-2</v>
      </c>
      <c r="G3" s="65">
        <v>-0.159246232381798</v>
      </c>
      <c r="H3" s="65">
        <v>-0.72394554993894999</v>
      </c>
      <c r="I3" s="65">
        <v>-2.37085755523796</v>
      </c>
    </row>
    <row r="4" spans="1:9" x14ac:dyDescent="0.45">
      <c r="A4" s="60">
        <v>1994</v>
      </c>
      <c r="B4" s="60">
        <v>1357</v>
      </c>
      <c r="C4" s="65">
        <v>-0.23342379196316801</v>
      </c>
      <c r="D4" s="65">
        <v>-0.14230005575080101</v>
      </c>
      <c r="E4" s="65">
        <v>0.17614569098412899</v>
      </c>
      <c r="F4" s="65">
        <v>9.2933543748904002E-2</v>
      </c>
      <c r="G4" s="65">
        <v>-4.1098546042003199E-2</v>
      </c>
      <c r="H4" s="65">
        <v>-0.34090382387022</v>
      </c>
      <c r="I4" s="65">
        <v>-0.981368090315902</v>
      </c>
    </row>
    <row r="5" spans="1:9" x14ac:dyDescent="0.45">
      <c r="A5" s="60">
        <v>1997</v>
      </c>
      <c r="B5" s="60">
        <v>1458</v>
      </c>
      <c r="C5" s="65">
        <v>-0.298704474292463</v>
      </c>
      <c r="D5" s="65">
        <v>-0.19236778771406199</v>
      </c>
      <c r="E5" s="65">
        <v>0.13660659444943901</v>
      </c>
      <c r="F5" s="65">
        <v>7.1404331661992407E-2</v>
      </c>
      <c r="G5" s="65">
        <v>-8.4580713863201804E-2</v>
      </c>
      <c r="H5" s="65">
        <v>-0.43245189952254498</v>
      </c>
      <c r="I5" s="65">
        <v>-1.0548940283936701</v>
      </c>
    </row>
    <row r="6" spans="1:9" x14ac:dyDescent="0.45">
      <c r="A6" s="60">
        <v>2000</v>
      </c>
      <c r="B6" s="60">
        <v>1279</v>
      </c>
      <c r="C6" s="65">
        <v>-1.0414846263900499</v>
      </c>
      <c r="D6" s="65">
        <v>-0.71815707039805399</v>
      </c>
      <c r="E6" s="65">
        <v>0.226318478839792</v>
      </c>
      <c r="F6" s="65">
        <v>0.104018432331567</v>
      </c>
      <c r="G6" s="65">
        <v>-0.16440199112067799</v>
      </c>
      <c r="H6" s="65">
        <v>-1.03432415085458</v>
      </c>
      <c r="I6" s="65">
        <v>-3.4528890908143599</v>
      </c>
    </row>
    <row r="7" spans="1:9" x14ac:dyDescent="0.45">
      <c r="A7" s="60">
        <v>2003</v>
      </c>
      <c r="B7" s="60">
        <v>1012</v>
      </c>
      <c r="C7" s="65">
        <v>-0.14203504310517501</v>
      </c>
      <c r="D7" s="65">
        <v>-9.1789738833139303E-2</v>
      </c>
      <c r="E7" s="65">
        <v>0.132970251138783</v>
      </c>
      <c r="F7" s="65">
        <v>7.7880029542229695E-2</v>
      </c>
      <c r="G7" s="65">
        <v>-9.1382012149572797E-3</v>
      </c>
      <c r="H7" s="65">
        <v>-0.21049450306252401</v>
      </c>
      <c r="I7" s="65">
        <v>-0.597382693689263</v>
      </c>
    </row>
    <row r="8" spans="1:9" x14ac:dyDescent="0.45">
      <c r="A8" s="60">
        <v>2006</v>
      </c>
      <c r="B8" s="60">
        <v>963</v>
      </c>
      <c r="C8" s="65">
        <v>-0.120772660604813</v>
      </c>
      <c r="D8" s="65">
        <v>-8.0835552621597598E-2</v>
      </c>
      <c r="E8" s="65">
        <v>0.115197907653772</v>
      </c>
      <c r="F8" s="65">
        <v>7.6155831151923897E-2</v>
      </c>
      <c r="G8" s="65">
        <v>-1.6367696713765699E-3</v>
      </c>
      <c r="H8" s="65">
        <v>-0.20768940746853101</v>
      </c>
      <c r="I8" s="65">
        <v>-0.53602847042880997</v>
      </c>
    </row>
    <row r="9" spans="1:9" x14ac:dyDescent="0.45">
      <c r="A9" s="60">
        <v>2009</v>
      </c>
      <c r="B9" s="60">
        <v>842</v>
      </c>
      <c r="C9" s="65">
        <v>-0.65039899896368802</v>
      </c>
      <c r="D9" s="65">
        <v>-0.47291494786091898</v>
      </c>
      <c r="E9" s="65">
        <v>0.135825015329333</v>
      </c>
      <c r="F9" s="65">
        <v>4.7350960586381802E-2</v>
      </c>
      <c r="G9" s="65">
        <v>-0.22500977149450199</v>
      </c>
      <c r="H9" s="65">
        <v>-0.72399962605175205</v>
      </c>
      <c r="I9" s="65">
        <v>-2.1242599802065301</v>
      </c>
    </row>
    <row r="10" spans="1:9" x14ac:dyDescent="0.45">
      <c r="A10" s="60">
        <v>2012</v>
      </c>
      <c r="B10" s="60">
        <v>780</v>
      </c>
      <c r="C10" s="65">
        <v>-0.22693541693797001</v>
      </c>
      <c r="D10" s="65">
        <v>-0.12646143703058699</v>
      </c>
      <c r="E10" s="65">
        <v>0.18054034702366201</v>
      </c>
      <c r="F10" s="65">
        <v>0.10396495982413</v>
      </c>
      <c r="G10" s="65">
        <v>-3.7615928251284299E-2</v>
      </c>
      <c r="H10" s="65">
        <v>-0.35563482602535301</v>
      </c>
      <c r="I10" s="65">
        <v>-0.95222156181479101</v>
      </c>
    </row>
    <row r="11" spans="1:9" x14ac:dyDescent="0.45">
      <c r="A11" s="60">
        <v>2015</v>
      </c>
      <c r="B11" s="60">
        <v>813</v>
      </c>
      <c r="C11" s="65">
        <v>-0.595740984797961</v>
      </c>
      <c r="D11" s="65">
        <v>-0.355660550426732</v>
      </c>
      <c r="E11" s="65">
        <v>0.12649149418439401</v>
      </c>
      <c r="F11" s="65">
        <v>6.3013698630136894E-2</v>
      </c>
      <c r="G11" s="65">
        <v>-0.11528172531047801</v>
      </c>
      <c r="H11" s="65">
        <v>-0.554069323855789</v>
      </c>
      <c r="I11" s="65">
        <v>-1.7218457404879099</v>
      </c>
    </row>
    <row r="12" spans="1:9" x14ac:dyDescent="0.45">
      <c r="A12" s="63" t="s">
        <v>294</v>
      </c>
      <c r="C12" s="65">
        <f>AVERAGE(C2:C11)</f>
        <v>-0.44740012651972255</v>
      </c>
      <c r="D12" s="65">
        <f t="shared" ref="D12:I12" si="0">AVERAGE(D2:D11)</f>
        <v>-0.29403653979789157</v>
      </c>
      <c r="E12" s="65">
        <f t="shared" si="0"/>
        <v>0.15828220632156648</v>
      </c>
      <c r="F12" s="65">
        <f t="shared" si="0"/>
        <v>7.483602212888138E-2</v>
      </c>
      <c r="G12" s="65">
        <f t="shared" si="0"/>
        <v>-9.8083401355608307E-2</v>
      </c>
      <c r="H12" s="65">
        <f t="shared" si="0"/>
        <v>-0.51068494525817987</v>
      </c>
      <c r="I12" s="65">
        <f t="shared" si="0"/>
        <v>-1.5357030557305507</v>
      </c>
    </row>
    <row r="13" spans="1:9" x14ac:dyDescent="0.45">
      <c r="A13" s="63" t="s">
        <v>194</v>
      </c>
      <c r="C13" s="65">
        <f>MIN(C2:C11)</f>
        <v>-1.0414846263900499</v>
      </c>
      <c r="D13" s="65">
        <f t="shared" ref="D13:I13" si="1">MIN(D2:D11)</f>
        <v>-0.71815707039805399</v>
      </c>
      <c r="E13" s="65">
        <f t="shared" si="1"/>
        <v>0.115197907653772</v>
      </c>
      <c r="F13" s="65">
        <f t="shared" si="1"/>
        <v>4.7350960586381802E-2</v>
      </c>
      <c r="G13" s="65">
        <f t="shared" si="1"/>
        <v>-0.22500977149450199</v>
      </c>
      <c r="H13" s="65">
        <f t="shared" si="1"/>
        <v>-1.03432415085458</v>
      </c>
      <c r="I13" s="65">
        <f t="shared" si="1"/>
        <v>-3.4528890908143599</v>
      </c>
    </row>
    <row r="14" spans="1:9" x14ac:dyDescent="0.45">
      <c r="A14" s="63" t="s">
        <v>195</v>
      </c>
      <c r="C14" s="65">
        <f>MAX(C2:C11)</f>
        <v>-0.120772660604813</v>
      </c>
      <c r="D14" s="65">
        <f t="shared" ref="D14:I14" si="2">MAX(D2:D11)</f>
        <v>-8.0835552621597598E-2</v>
      </c>
      <c r="E14" s="65">
        <f t="shared" si="2"/>
        <v>0.226318478839792</v>
      </c>
      <c r="F14" s="65">
        <f t="shared" si="2"/>
        <v>0.104018432331567</v>
      </c>
      <c r="G14" s="65">
        <f t="shared" si="2"/>
        <v>-1.6367696713765699E-3</v>
      </c>
      <c r="H14" s="65">
        <f t="shared" si="2"/>
        <v>-0.20768940746853101</v>
      </c>
      <c r="I14" s="65">
        <f t="shared" si="2"/>
        <v>-0.53602847042880997</v>
      </c>
    </row>
  </sheetData>
  <pageMargins left="0.7" right="0.7" top="0.75" bottom="0.75" header="0.3" footer="0.3"/>
  <pageSetup orientation="portrait" horizontalDpi="4294967295" verticalDpi="4294967295"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I14"/>
  <sheetViews>
    <sheetView workbookViewId="0">
      <selection activeCell="H12" sqref="H12"/>
    </sheetView>
  </sheetViews>
  <sheetFormatPr defaultColWidth="9.1328125" defaultRowHeight="14.25" x14ac:dyDescent="0.45"/>
  <cols>
    <col min="1" max="16384" width="9.1328125" style="60"/>
  </cols>
  <sheetData>
    <row r="1" spans="1:9" x14ac:dyDescent="0.45">
      <c r="A1" s="60" t="s">
        <v>141</v>
      </c>
      <c r="B1" s="60" t="s">
        <v>142</v>
      </c>
      <c r="C1" s="60" t="s">
        <v>143</v>
      </c>
      <c r="D1" s="60" t="s">
        <v>144</v>
      </c>
      <c r="E1" s="60" t="s">
        <v>130</v>
      </c>
      <c r="F1" s="60" t="s">
        <v>129</v>
      </c>
      <c r="G1" s="60" t="s">
        <v>128</v>
      </c>
      <c r="H1" s="60" t="s">
        <v>49</v>
      </c>
      <c r="I1" s="60" t="s">
        <v>127</v>
      </c>
    </row>
    <row r="2" spans="1:9" x14ac:dyDescent="0.45">
      <c r="A2" s="60">
        <v>1988</v>
      </c>
      <c r="B2" s="60">
        <v>1054</v>
      </c>
      <c r="C2" s="60">
        <v>-0.274563607404193</v>
      </c>
      <c r="D2" s="60">
        <v>-7.3956952177559404E-2</v>
      </c>
      <c r="E2" s="60">
        <v>0.124333000488102</v>
      </c>
      <c r="F2" s="60">
        <v>2.9154711863774802E-2</v>
      </c>
      <c r="G2" s="60">
        <v>-8.2833910008113604E-2</v>
      </c>
      <c r="H2" s="60">
        <v>-0.27586429121135603</v>
      </c>
      <c r="I2" s="60">
        <v>-0.78753381218471896</v>
      </c>
    </row>
    <row r="3" spans="1:9" x14ac:dyDescent="0.45">
      <c r="A3" s="60">
        <v>1991</v>
      </c>
      <c r="B3" s="60">
        <v>1033</v>
      </c>
      <c r="C3" s="60">
        <v>-0.29830247232720097</v>
      </c>
      <c r="D3" s="60">
        <v>-5.6321129699048601E-2</v>
      </c>
      <c r="E3" s="60">
        <v>0.123557418890368</v>
      </c>
      <c r="F3" s="60">
        <v>3.2769121899189201E-2</v>
      </c>
      <c r="G3" s="60">
        <v>-5.05593039772727E-2</v>
      </c>
      <c r="H3" s="60">
        <v>-0.234690265486725</v>
      </c>
      <c r="I3" s="60">
        <v>-0.78359985809249499</v>
      </c>
    </row>
    <row r="4" spans="1:9" x14ac:dyDescent="0.45">
      <c r="A4" s="60">
        <v>1994</v>
      </c>
      <c r="B4" s="60">
        <v>1357</v>
      </c>
      <c r="C4" s="60">
        <v>-0.181942891268354</v>
      </c>
      <c r="D4" s="60">
        <v>-8.3369550584024302E-2</v>
      </c>
      <c r="E4" s="60">
        <v>0.116253760773241</v>
      </c>
      <c r="F4" s="60">
        <v>4.2310749055077902E-2</v>
      </c>
      <c r="G4" s="60">
        <v>-5.7781658130062398E-2</v>
      </c>
      <c r="H4" s="60">
        <v>-0.24030243261012399</v>
      </c>
      <c r="I4" s="60">
        <v>-0.60338906862368002</v>
      </c>
    </row>
    <row r="5" spans="1:9" x14ac:dyDescent="0.45">
      <c r="A5" s="60">
        <v>1997</v>
      </c>
      <c r="B5" s="60">
        <v>1458</v>
      </c>
      <c r="C5" s="60">
        <v>-0.23550058656608899</v>
      </c>
      <c r="D5" s="60">
        <v>-9.6561262051053004E-2</v>
      </c>
      <c r="E5" s="60">
        <v>0.108407387277509</v>
      </c>
      <c r="F5" s="60">
        <v>3.6628286178105901E-2</v>
      </c>
      <c r="G5" s="60">
        <v>-8.5775436228685706E-2</v>
      </c>
      <c r="H5" s="60">
        <v>-0.29827130664274099</v>
      </c>
      <c r="I5" s="60">
        <v>-0.71371313088900401</v>
      </c>
    </row>
    <row r="6" spans="1:9" x14ac:dyDescent="0.45">
      <c r="A6" s="60">
        <v>2000</v>
      </c>
      <c r="B6" s="60">
        <v>1279</v>
      </c>
      <c r="C6" s="60">
        <v>-0.57128545636876904</v>
      </c>
      <c r="D6" s="60">
        <v>-0.14796134268480601</v>
      </c>
      <c r="E6" s="60">
        <v>0.15492884071503901</v>
      </c>
      <c r="F6" s="60">
        <v>4.7160428155320802E-2</v>
      </c>
      <c r="G6" s="60">
        <v>-0.11436310876681299</v>
      </c>
      <c r="H6" s="60">
        <v>-0.49152936168301897</v>
      </c>
      <c r="I6" s="60">
        <v>-1.5753700756884499</v>
      </c>
    </row>
    <row r="7" spans="1:9" x14ac:dyDescent="0.45">
      <c r="A7" s="60">
        <v>2003</v>
      </c>
      <c r="B7" s="60">
        <v>1012</v>
      </c>
      <c r="C7" s="60">
        <v>-0.11564133238129801</v>
      </c>
      <c r="D7" s="60">
        <v>-5.1540745921783697E-2</v>
      </c>
      <c r="E7" s="60">
        <v>0.104082545451239</v>
      </c>
      <c r="F7" s="60">
        <v>4.3355689718575202E-2</v>
      </c>
      <c r="G7" s="60">
        <v>-3.38113175272889E-2</v>
      </c>
      <c r="H7" s="60">
        <v>-0.16378257958880901</v>
      </c>
      <c r="I7" s="60">
        <v>-0.41286543858547498</v>
      </c>
    </row>
    <row r="8" spans="1:9" x14ac:dyDescent="0.45">
      <c r="A8" s="60">
        <v>2006</v>
      </c>
      <c r="B8" s="60">
        <v>963</v>
      </c>
      <c r="C8" s="60">
        <v>-0.120048934154677</v>
      </c>
      <c r="D8" s="60">
        <v>-6.1692008143292898E-2</v>
      </c>
      <c r="E8" s="60">
        <v>9.7082843082416506E-2</v>
      </c>
      <c r="F8" s="60">
        <v>4.8616478844875098E-2</v>
      </c>
      <c r="G8" s="60">
        <v>-4.8727902580702698E-2</v>
      </c>
      <c r="H8" s="60">
        <v>-0.19303348539373899</v>
      </c>
      <c r="I8" s="60">
        <v>-0.42187736477057602</v>
      </c>
    </row>
    <row r="9" spans="1:9" x14ac:dyDescent="0.45">
      <c r="A9" s="60">
        <v>2009</v>
      </c>
      <c r="B9" s="60">
        <v>842</v>
      </c>
      <c r="C9" s="60">
        <v>-0.26971115367091703</v>
      </c>
      <c r="D9" s="60">
        <v>-8.6144881249776206E-2</v>
      </c>
      <c r="E9" s="60">
        <v>0.125201290400933</v>
      </c>
      <c r="F9" s="60">
        <v>4.6053572912261399E-2</v>
      </c>
      <c r="G9" s="60">
        <v>-0.105462641161923</v>
      </c>
      <c r="H9" s="60">
        <v>-0.33900778346866001</v>
      </c>
      <c r="I9" s="60">
        <v>-0.79504996922962901</v>
      </c>
    </row>
    <row r="10" spans="1:9" x14ac:dyDescent="0.45">
      <c r="A10" s="60">
        <v>2012</v>
      </c>
      <c r="B10" s="60">
        <v>780</v>
      </c>
      <c r="C10" s="60">
        <v>-0.189367646312191</v>
      </c>
      <c r="D10" s="60">
        <v>-6.8671414886254903E-2</v>
      </c>
      <c r="E10" s="60">
        <v>0.13001829171888199</v>
      </c>
      <c r="F10" s="60">
        <v>5.8921236509909797E-2</v>
      </c>
      <c r="G10" s="60">
        <v>-6.7955861834046005E-2</v>
      </c>
      <c r="H10" s="60">
        <v>-0.26431053979242802</v>
      </c>
      <c r="I10" s="60">
        <v>-0.66789392924181501</v>
      </c>
    </row>
    <row r="11" spans="1:9" x14ac:dyDescent="0.45">
      <c r="A11" s="60">
        <v>2015</v>
      </c>
      <c r="B11" s="60">
        <v>813</v>
      </c>
      <c r="C11" s="60">
        <v>-0.40498786906952</v>
      </c>
      <c r="D11" s="60">
        <v>-0.12601005146664801</v>
      </c>
      <c r="E11" s="60">
        <v>8.75921470197637E-2</v>
      </c>
      <c r="F11" s="60">
        <v>1.3468914961285199E-2</v>
      </c>
      <c r="G11" s="60">
        <v>-0.12678589795838199</v>
      </c>
      <c r="H11" s="60">
        <v>-0.40133281469257098</v>
      </c>
      <c r="I11" s="60">
        <v>-1.1232682562031799</v>
      </c>
    </row>
    <row r="12" spans="1:9" x14ac:dyDescent="0.45">
      <c r="A12" s="63" t="s">
        <v>294</v>
      </c>
      <c r="C12" s="65">
        <f>AVERAGE(C2:C11)</f>
        <v>-0.26613519495232091</v>
      </c>
      <c r="D12" s="65">
        <f t="shared" ref="D12:I12" si="0">AVERAGE(D2:D11)</f>
        <v>-8.5222933886424712E-2</v>
      </c>
      <c r="E12" s="65">
        <f t="shared" si="0"/>
        <v>0.11714575258174934</v>
      </c>
      <c r="F12" s="65">
        <f t="shared" si="0"/>
        <v>3.9843919009837539E-2</v>
      </c>
      <c r="G12" s="65">
        <f t="shared" si="0"/>
        <v>-7.7405703817329002E-2</v>
      </c>
      <c r="H12" s="65">
        <f t="shared" si="0"/>
        <v>-0.29021248605701722</v>
      </c>
      <c r="I12" s="65">
        <f t="shared" si="0"/>
        <v>-0.78845609035090214</v>
      </c>
    </row>
    <row r="13" spans="1:9" x14ac:dyDescent="0.45">
      <c r="A13" s="63" t="s">
        <v>194</v>
      </c>
      <c r="C13" s="65">
        <f>MIN(C2:C11)</f>
        <v>-0.57128545636876904</v>
      </c>
      <c r="D13" s="65">
        <f t="shared" ref="D13:I13" si="1">MIN(D2:D11)</f>
        <v>-0.14796134268480601</v>
      </c>
      <c r="E13" s="65">
        <f t="shared" si="1"/>
        <v>8.75921470197637E-2</v>
      </c>
      <c r="F13" s="65">
        <f t="shared" si="1"/>
        <v>1.3468914961285199E-2</v>
      </c>
      <c r="G13" s="65">
        <f t="shared" si="1"/>
        <v>-0.12678589795838199</v>
      </c>
      <c r="H13" s="65">
        <f t="shared" si="1"/>
        <v>-0.49152936168301897</v>
      </c>
      <c r="I13" s="65">
        <f t="shared" si="1"/>
        <v>-1.5753700756884499</v>
      </c>
    </row>
    <row r="14" spans="1:9" x14ac:dyDescent="0.45">
      <c r="A14" s="63" t="s">
        <v>195</v>
      </c>
      <c r="C14" s="65">
        <f>MAX(C2:C11)</f>
        <v>-0.11564133238129801</v>
      </c>
      <c r="D14" s="65">
        <f t="shared" ref="D14:I14" si="2">MAX(D2:D11)</f>
        <v>-5.1540745921783697E-2</v>
      </c>
      <c r="E14" s="65">
        <f t="shared" si="2"/>
        <v>0.15492884071503901</v>
      </c>
      <c r="F14" s="65">
        <f t="shared" si="2"/>
        <v>5.8921236509909797E-2</v>
      </c>
      <c r="G14" s="65">
        <f t="shared" si="2"/>
        <v>-3.38113175272889E-2</v>
      </c>
      <c r="H14" s="65">
        <f t="shared" si="2"/>
        <v>-0.16378257958880901</v>
      </c>
      <c r="I14" s="65">
        <f t="shared" si="2"/>
        <v>-0.41286543858547498</v>
      </c>
    </row>
  </sheetData>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N33"/>
  <sheetViews>
    <sheetView zoomScale="115" zoomScaleNormal="115" workbookViewId="0"/>
  </sheetViews>
  <sheetFormatPr defaultRowHeight="14.25" x14ac:dyDescent="0.45"/>
  <cols>
    <col min="1" max="1" width="8.1328125" bestFit="1" customWidth="1"/>
    <col min="2" max="2" width="21.59765625" bestFit="1" customWidth="1"/>
    <col min="3" max="3" width="23.3984375" bestFit="1" customWidth="1"/>
    <col min="4" max="4" width="12.73046875" bestFit="1" customWidth="1"/>
    <col min="5" max="5" width="13.86328125" bestFit="1" customWidth="1"/>
    <col min="6" max="9" width="12.73046875" bestFit="1" customWidth="1"/>
    <col min="10" max="12" width="12.3984375" bestFit="1" customWidth="1"/>
  </cols>
  <sheetData>
    <row r="1" spans="1:14" x14ac:dyDescent="0.45">
      <c r="A1" t="s">
        <v>2</v>
      </c>
      <c r="B1" t="s">
        <v>319</v>
      </c>
      <c r="C1" t="s">
        <v>320</v>
      </c>
      <c r="D1" t="s">
        <v>160</v>
      </c>
      <c r="E1" t="s">
        <v>4</v>
      </c>
      <c r="F1" t="s">
        <v>166</v>
      </c>
      <c r="G1" t="s">
        <v>167</v>
      </c>
      <c r="H1" t="s">
        <v>218</v>
      </c>
      <c r="I1" s="31" t="s">
        <v>219</v>
      </c>
      <c r="J1" s="31" t="s">
        <v>220</v>
      </c>
      <c r="K1" s="31" t="s">
        <v>221</v>
      </c>
      <c r="L1" s="31" t="s">
        <v>222</v>
      </c>
      <c r="N1" t="s">
        <v>184</v>
      </c>
    </row>
    <row r="2" spans="1:14" x14ac:dyDescent="0.45">
      <c r="A2">
        <v>1988</v>
      </c>
      <c r="B2" s="2">
        <v>238.34689219054735</v>
      </c>
      <c r="C2" s="2">
        <v>20.029832489977593</v>
      </c>
      <c r="D2" s="2">
        <f>B2+C2</f>
        <v>258.37672468052494</v>
      </c>
      <c r="E2" s="2">
        <v>281.90800000000002</v>
      </c>
      <c r="F2" s="2"/>
      <c r="G2" s="2"/>
      <c r="H2" s="2">
        <v>149.98439999999999</v>
      </c>
      <c r="I2" s="2">
        <f>(E2-D2)/D2*100</f>
        <v>9.1073510389028982</v>
      </c>
      <c r="J2" s="2"/>
      <c r="K2" s="2"/>
      <c r="L2" s="2">
        <f>(H2-D2)/D2*100</f>
        <v>-41.951272822483837</v>
      </c>
      <c r="N2" t="s">
        <v>168</v>
      </c>
    </row>
    <row r="3" spans="1:14" x14ac:dyDescent="0.45">
      <c r="A3">
        <v>1989</v>
      </c>
      <c r="B3" s="2">
        <v>253.19844505585053</v>
      </c>
      <c r="C3" s="2">
        <v>17.927916912407095</v>
      </c>
      <c r="D3" s="2">
        <f t="shared" ref="D3:D30" si="0">B3+C3</f>
        <v>271.12636196825764</v>
      </c>
      <c r="E3" s="2"/>
      <c r="F3" s="2"/>
      <c r="G3" s="2"/>
      <c r="H3" s="2">
        <v>172.2405</v>
      </c>
      <c r="I3" s="2"/>
      <c r="J3" s="2"/>
      <c r="K3" s="2"/>
      <c r="L3" s="2">
        <f t="shared" ref="L3:L29" si="1">(H3-D3)/D3*100</f>
        <v>-36.472241670042692</v>
      </c>
      <c r="N3" t="s">
        <v>182</v>
      </c>
    </row>
    <row r="4" spans="1:14" x14ac:dyDescent="0.45">
      <c r="A4">
        <v>1990</v>
      </c>
      <c r="B4" s="2">
        <v>271.52601012163404</v>
      </c>
      <c r="C4" s="2">
        <v>15.182628891685274</v>
      </c>
      <c r="D4" s="2">
        <f t="shared" si="0"/>
        <v>286.70863901331933</v>
      </c>
      <c r="E4" s="2"/>
      <c r="F4" s="2"/>
      <c r="G4" s="2"/>
      <c r="H4" s="2">
        <v>172.9571</v>
      </c>
      <c r="I4" s="2"/>
      <c r="J4" s="2"/>
      <c r="K4" s="2"/>
      <c r="L4" s="2">
        <f t="shared" si="1"/>
        <v>-39.674960407466095</v>
      </c>
      <c r="N4" t="s">
        <v>169</v>
      </c>
    </row>
    <row r="5" spans="1:14" x14ac:dyDescent="0.45">
      <c r="A5">
        <v>1991</v>
      </c>
      <c r="B5" s="2">
        <v>272.92810659872862</v>
      </c>
      <c r="C5" s="2">
        <v>15.517867176400488</v>
      </c>
      <c r="D5" s="2">
        <f t="shared" si="0"/>
        <v>288.44597377512912</v>
      </c>
      <c r="E5" s="2">
        <v>396.7543</v>
      </c>
      <c r="F5" s="2"/>
      <c r="G5" s="2"/>
      <c r="H5" s="2">
        <v>178.07740000000001</v>
      </c>
      <c r="I5" s="2">
        <f>(E5-D5)/D5*100</f>
        <v>37.548912473053775</v>
      </c>
      <c r="J5" s="2"/>
      <c r="K5" s="2"/>
      <c r="L5" s="2">
        <f t="shared" si="1"/>
        <v>-38.263170163426111</v>
      </c>
    </row>
    <row r="6" spans="1:14" x14ac:dyDescent="0.45">
      <c r="A6">
        <v>1992</v>
      </c>
      <c r="B6" s="2">
        <v>281.85640440745988</v>
      </c>
      <c r="C6" s="2">
        <v>22.441101981650128</v>
      </c>
      <c r="D6" s="2">
        <f t="shared" si="0"/>
        <v>304.29750638911003</v>
      </c>
      <c r="E6" s="2"/>
      <c r="F6" s="2">
        <v>199.93219999999999</v>
      </c>
      <c r="G6" s="2"/>
      <c r="H6" s="2">
        <v>176.5667</v>
      </c>
      <c r="I6" s="2"/>
      <c r="J6" s="2">
        <f>(F6-D6)/D6*100</f>
        <v>-34.297128368727563</v>
      </c>
      <c r="K6" s="2"/>
      <c r="L6" s="2">
        <f t="shared" si="1"/>
        <v>-41.975633617509381</v>
      </c>
    </row>
    <row r="7" spans="1:14" x14ac:dyDescent="0.45">
      <c r="A7">
        <v>1993</v>
      </c>
      <c r="B7" s="2">
        <v>292.78247632883858</v>
      </c>
      <c r="C7" s="2">
        <v>31.036321471415899</v>
      </c>
      <c r="D7" s="2">
        <f t="shared" si="0"/>
        <v>323.81879780025446</v>
      </c>
      <c r="E7" s="2"/>
      <c r="F7" s="2">
        <v>187.3776</v>
      </c>
      <c r="G7" s="2"/>
      <c r="H7" s="2">
        <v>178.11789999999999</v>
      </c>
      <c r="I7" s="2"/>
      <c r="J7" s="2">
        <f>(F7-D7)/D7*100</f>
        <v>-42.135045502953581</v>
      </c>
      <c r="K7" s="2"/>
      <c r="L7" s="2">
        <f t="shared" si="1"/>
        <v>-44.994576840511009</v>
      </c>
    </row>
    <row r="8" spans="1:14" x14ac:dyDescent="0.45">
      <c r="A8">
        <v>1994</v>
      </c>
      <c r="B8" s="2">
        <v>315.49715468098714</v>
      </c>
      <c r="C8" s="2">
        <v>35.099775055489054</v>
      </c>
      <c r="D8" s="2">
        <f t="shared" si="0"/>
        <v>350.59692973647617</v>
      </c>
      <c r="E8" s="2">
        <v>721.75421199999994</v>
      </c>
      <c r="F8" s="2">
        <v>193.7312</v>
      </c>
      <c r="G8" s="2"/>
      <c r="H8" s="2">
        <v>167.3836</v>
      </c>
      <c r="I8" s="2">
        <f>(E8-D8)/D8*100</f>
        <v>105.8643846489191</v>
      </c>
      <c r="J8" s="2">
        <f>(F8-D8)/D8*100</f>
        <v>-44.742471034867087</v>
      </c>
      <c r="K8" s="2"/>
      <c r="L8" s="2">
        <f t="shared" si="1"/>
        <v>-52.257539697848252</v>
      </c>
    </row>
    <row r="9" spans="1:14" x14ac:dyDescent="0.45">
      <c r="A9">
        <v>1995</v>
      </c>
      <c r="B9" s="2">
        <v>331.92392261205816</v>
      </c>
      <c r="C9" s="2">
        <v>39.421329692201688</v>
      </c>
      <c r="D9" s="2">
        <f t="shared" si="0"/>
        <v>371.34525230425987</v>
      </c>
      <c r="E9" s="2"/>
      <c r="F9" s="2">
        <v>218.97710000000001</v>
      </c>
      <c r="G9" s="2"/>
      <c r="H9" s="2">
        <v>168.56200000000001</v>
      </c>
      <c r="I9" s="2"/>
      <c r="J9" s="2">
        <f>(F9-D9)/D9*100</f>
        <v>-41.031399044094357</v>
      </c>
      <c r="K9" s="2"/>
      <c r="L9" s="2">
        <f t="shared" si="1"/>
        <v>-54.607740652655615</v>
      </c>
    </row>
    <row r="10" spans="1:14" x14ac:dyDescent="0.45">
      <c r="A10" s="30">
        <v>1996</v>
      </c>
      <c r="B10" s="2">
        <v>339.67868603095383</v>
      </c>
      <c r="C10" s="2">
        <v>56.675680100249551</v>
      </c>
      <c r="D10" s="2">
        <f t="shared" si="0"/>
        <v>396.35436613120339</v>
      </c>
      <c r="E10" s="2"/>
      <c r="F10" s="2">
        <v>204.4288</v>
      </c>
      <c r="G10" s="2"/>
      <c r="H10" s="2">
        <v>203.40479999999999</v>
      </c>
      <c r="I10" s="2"/>
      <c r="J10" s="2">
        <f>(F10-D10)/D10*100</f>
        <v>-48.422720305715302</v>
      </c>
      <c r="K10" s="2"/>
      <c r="L10" s="2">
        <f t="shared" si="1"/>
        <v>-48.681074972019402</v>
      </c>
    </row>
    <row r="11" spans="1:14" x14ac:dyDescent="0.45">
      <c r="A11" s="30">
        <v>1997</v>
      </c>
      <c r="B11" s="2">
        <v>364.69490776024816</v>
      </c>
      <c r="C11" s="2">
        <v>59.335890780521829</v>
      </c>
      <c r="D11" s="2">
        <f t="shared" si="0"/>
        <v>424.03079854076998</v>
      </c>
      <c r="E11" s="2">
        <v>494.62710000000004</v>
      </c>
      <c r="F11" s="2"/>
      <c r="G11" s="2"/>
      <c r="H11" s="2">
        <v>252.5121</v>
      </c>
      <c r="I11" s="2">
        <f>(E11-D11)/D11*100</f>
        <v>16.648861757724969</v>
      </c>
      <c r="J11" s="2"/>
      <c r="K11" s="2"/>
      <c r="L11" s="2">
        <f t="shared" si="1"/>
        <v>-40.449585061043315</v>
      </c>
    </row>
    <row r="12" spans="1:14" x14ac:dyDescent="0.45">
      <c r="A12" s="30">
        <v>1998</v>
      </c>
      <c r="B12" s="2">
        <v>402.47379295285725</v>
      </c>
      <c r="C12" s="2">
        <v>57.907924214849984</v>
      </c>
      <c r="D12" s="2">
        <f t="shared" si="0"/>
        <v>460.38171716770722</v>
      </c>
      <c r="E12" s="2"/>
      <c r="F12" s="2">
        <v>262.94459999999998</v>
      </c>
      <c r="G12" s="2"/>
      <c r="H12" s="2">
        <v>247.6251</v>
      </c>
      <c r="I12" s="2"/>
      <c r="J12" s="2">
        <f>(F12-D12)/D12*100</f>
        <v>-42.885525164281255</v>
      </c>
      <c r="K12" s="2"/>
      <c r="L12" s="2">
        <f t="shared" si="1"/>
        <v>-46.21308997164293</v>
      </c>
    </row>
    <row r="13" spans="1:14" x14ac:dyDescent="0.45">
      <c r="A13" s="30">
        <v>1999</v>
      </c>
      <c r="B13" s="2">
        <v>419.46606576230886</v>
      </c>
      <c r="C13" s="2">
        <v>70.408565714872708</v>
      </c>
      <c r="D13" s="2">
        <f t="shared" si="0"/>
        <v>489.87463147718154</v>
      </c>
      <c r="E13" s="2"/>
      <c r="F13" s="2"/>
      <c r="G13" s="2"/>
      <c r="H13" s="2">
        <v>252.31209999999999</v>
      </c>
      <c r="I13" s="2"/>
      <c r="J13" s="2"/>
      <c r="K13" s="2"/>
      <c r="L13" s="2">
        <f t="shared" si="1"/>
        <v>-48.494556813613499</v>
      </c>
    </row>
    <row r="14" spans="1:14" x14ac:dyDescent="0.45">
      <c r="A14" s="30">
        <v>2000</v>
      </c>
      <c r="B14" s="2">
        <v>438.1119819331999</v>
      </c>
      <c r="C14" s="2">
        <v>79.958269160781128</v>
      </c>
      <c r="D14" s="2">
        <f t="shared" si="0"/>
        <v>518.07025109398103</v>
      </c>
      <c r="E14" s="2">
        <v>753.97769999999991</v>
      </c>
      <c r="F14" s="2">
        <v>307.8734</v>
      </c>
      <c r="G14" s="2"/>
      <c r="H14" s="2">
        <v>289.26729999999998</v>
      </c>
      <c r="I14" s="2">
        <f>(E14-D14)/D14*100</f>
        <v>45.535802993487053</v>
      </c>
      <c r="J14" s="2">
        <f>(F14-D14)/D14*100</f>
        <v>-40.573040171698658</v>
      </c>
      <c r="K14" s="2"/>
      <c r="L14" s="2">
        <f t="shared" si="1"/>
        <v>-44.164464300127285</v>
      </c>
    </row>
    <row r="15" spans="1:14" x14ac:dyDescent="0.45">
      <c r="A15" s="30">
        <v>2001</v>
      </c>
      <c r="B15" s="2">
        <v>454.99105158068289</v>
      </c>
      <c r="C15" s="2">
        <v>79.319173002084881</v>
      </c>
      <c r="D15" s="2">
        <f t="shared" si="0"/>
        <v>534.31022458276777</v>
      </c>
      <c r="E15" s="2"/>
      <c r="F15" s="2"/>
      <c r="G15" s="2"/>
      <c r="H15" s="2">
        <v>246.5566</v>
      </c>
      <c r="I15" s="2"/>
      <c r="J15" s="2"/>
      <c r="K15" s="2"/>
      <c r="L15" s="2">
        <f t="shared" si="1"/>
        <v>-53.855159670109032</v>
      </c>
    </row>
    <row r="16" spans="1:14" x14ac:dyDescent="0.45">
      <c r="A16" s="30">
        <v>2002</v>
      </c>
      <c r="B16" s="2">
        <v>469.32434417844888</v>
      </c>
      <c r="C16" s="2">
        <v>90.273242373788591</v>
      </c>
      <c r="D16" s="2">
        <f t="shared" si="0"/>
        <v>559.59758655223743</v>
      </c>
      <c r="E16" s="2"/>
      <c r="F16" s="2">
        <v>389.13260000000002</v>
      </c>
      <c r="G16" s="2"/>
      <c r="H16" s="2">
        <v>270.03960000000001</v>
      </c>
      <c r="I16" s="2"/>
      <c r="J16" s="2">
        <f>(F16-D16)/D16*100</f>
        <v>-30.462066071888749</v>
      </c>
      <c r="K16" s="2"/>
      <c r="L16" s="2">
        <f t="shared" si="1"/>
        <v>-51.743966291249841</v>
      </c>
    </row>
    <row r="17" spans="1:12" x14ac:dyDescent="0.45">
      <c r="A17" s="30">
        <v>2003</v>
      </c>
      <c r="B17" s="2">
        <v>475.18456625128943</v>
      </c>
      <c r="C17" s="2">
        <v>106.10395543084383</v>
      </c>
      <c r="D17" s="2">
        <f t="shared" si="0"/>
        <v>581.28852168213325</v>
      </c>
      <c r="E17" s="2">
        <v>801.928</v>
      </c>
      <c r="F17" s="2"/>
      <c r="G17" s="2"/>
      <c r="H17" s="2">
        <v>280.4991</v>
      </c>
      <c r="I17" s="2">
        <f>(E17-D17)/D17*100</f>
        <v>37.956964586085412</v>
      </c>
      <c r="J17" s="2"/>
      <c r="K17" s="2"/>
      <c r="L17" s="2">
        <f t="shared" si="1"/>
        <v>-51.745288348668673</v>
      </c>
    </row>
    <row r="18" spans="1:12" x14ac:dyDescent="0.45">
      <c r="A18" s="30">
        <v>2004</v>
      </c>
      <c r="B18" s="2">
        <v>481.66297890436806</v>
      </c>
      <c r="C18" s="2">
        <v>133.70727103512405</v>
      </c>
      <c r="D18" s="2">
        <f t="shared" si="0"/>
        <v>615.37024993949217</v>
      </c>
      <c r="E18" s="2"/>
      <c r="F18" s="2">
        <v>606.52499999999998</v>
      </c>
      <c r="G18" s="2">
        <v>202.81926813999999</v>
      </c>
      <c r="H18" s="2">
        <v>270.53859999999997</v>
      </c>
      <c r="I18" s="2"/>
      <c r="J18" s="2">
        <f>(F18-D18)/D18*100</f>
        <v>-1.4373866693038739</v>
      </c>
      <c r="K18" s="2">
        <f>(G18-B18)/B18*100</f>
        <v>-57.891871075217352</v>
      </c>
      <c r="L18" s="2">
        <f t="shared" si="1"/>
        <v>-56.03645122158548</v>
      </c>
    </row>
    <row r="19" spans="1:12" x14ac:dyDescent="0.45">
      <c r="A19" s="30">
        <v>2005</v>
      </c>
      <c r="B19" s="2">
        <v>475.78499827248061</v>
      </c>
      <c r="C19" s="2">
        <v>179.65815421916864</v>
      </c>
      <c r="D19" s="2">
        <f t="shared" si="0"/>
        <v>655.44315249164924</v>
      </c>
      <c r="E19" s="2"/>
      <c r="F19" s="2"/>
      <c r="G19" s="2">
        <v>204.00550910999999</v>
      </c>
      <c r="H19" s="2">
        <v>326.2543</v>
      </c>
      <c r="I19" s="2"/>
      <c r="J19" s="2"/>
      <c r="K19" s="2">
        <f t="shared" ref="K19:K20" si="2">(G19-B19)/B19*100</f>
        <v>-57.122332597555612</v>
      </c>
      <c r="L19" s="2">
        <f t="shared" si="1"/>
        <v>-50.223860183792723</v>
      </c>
    </row>
    <row r="20" spans="1:12" x14ac:dyDescent="0.45">
      <c r="A20" s="30">
        <v>2006</v>
      </c>
      <c r="B20" s="2">
        <v>496.63966151510317</v>
      </c>
      <c r="C20" s="2">
        <v>212.63038035274246</v>
      </c>
      <c r="D20" s="2">
        <f t="shared" si="0"/>
        <v>709.27004186784563</v>
      </c>
      <c r="E20" s="2">
        <v>1436.0392999999999</v>
      </c>
      <c r="F20" s="2">
        <v>391.18200000000002</v>
      </c>
      <c r="G20" s="2">
        <v>198.45096468999998</v>
      </c>
      <c r="H20" s="2">
        <v>355.3723</v>
      </c>
      <c r="I20" s="2">
        <f>(E20-D20)/D20*100</f>
        <v>102.46721491552427</v>
      </c>
      <c r="J20" s="2">
        <f>(F20-D20)/D20*100</f>
        <v>-44.847240555962067</v>
      </c>
      <c r="K20" s="2">
        <f t="shared" si="2"/>
        <v>-60.041257259924876</v>
      </c>
      <c r="L20" s="2">
        <f t="shared" si="1"/>
        <v>-49.896051007013412</v>
      </c>
    </row>
    <row r="21" spans="1:12" x14ac:dyDescent="0.45">
      <c r="A21" s="30">
        <v>2007</v>
      </c>
      <c r="B21" s="2">
        <v>512.00164425985827</v>
      </c>
      <c r="C21" s="2">
        <v>185.47490831314462</v>
      </c>
      <c r="D21" s="2">
        <f t="shared" si="0"/>
        <v>697.47655257300289</v>
      </c>
      <c r="E21" s="2"/>
      <c r="F21" s="2"/>
      <c r="G21" s="2"/>
      <c r="H21" s="2">
        <v>349.45760000000001</v>
      </c>
      <c r="I21" s="2"/>
      <c r="J21" s="2"/>
      <c r="K21" s="2"/>
      <c r="L21" s="2">
        <f t="shared" si="1"/>
        <v>-49.896867685251216</v>
      </c>
    </row>
    <row r="22" spans="1:12" x14ac:dyDescent="0.45">
      <c r="A22" s="30">
        <v>2008</v>
      </c>
      <c r="B22" s="2">
        <v>510.3583330356937</v>
      </c>
      <c r="C22" s="2">
        <v>71.350435158756483</v>
      </c>
      <c r="D22" s="2">
        <f t="shared" si="0"/>
        <v>581.70876819445016</v>
      </c>
      <c r="E22" s="2"/>
      <c r="F22" s="2">
        <v>427.74270000000001</v>
      </c>
      <c r="G22" s="2"/>
      <c r="H22" s="2">
        <v>330.31630000000001</v>
      </c>
      <c r="I22" s="2"/>
      <c r="J22" s="2">
        <f>(F22-D22)/D22*100</f>
        <v>-26.467895382141336</v>
      </c>
      <c r="K22" s="2"/>
      <c r="L22" s="2">
        <f t="shared" si="1"/>
        <v>-43.216207480375502</v>
      </c>
    </row>
    <row r="23" spans="1:12" x14ac:dyDescent="0.45">
      <c r="A23" s="30">
        <v>2009</v>
      </c>
      <c r="B23" s="2">
        <v>489.72588369466087</v>
      </c>
      <c r="C23" s="2">
        <v>92.141904741181833</v>
      </c>
      <c r="D23" s="2">
        <f t="shared" si="0"/>
        <v>581.86778843584273</v>
      </c>
      <c r="E23" s="2">
        <v>859.85179999999991</v>
      </c>
      <c r="F23" s="2"/>
      <c r="G23" s="2">
        <v>147.60562909000001</v>
      </c>
      <c r="H23" s="2">
        <v>297.28289999999998</v>
      </c>
      <c r="I23" s="2">
        <f>(E23-D23)/D23*100</f>
        <v>47.77442867415369</v>
      </c>
      <c r="J23" s="2"/>
      <c r="K23" s="2">
        <f>(G23-B23)/B23*100</f>
        <v>-69.859541019883977</v>
      </c>
      <c r="L23" s="2">
        <f t="shared" si="1"/>
        <v>-48.908857663500186</v>
      </c>
    </row>
    <row r="24" spans="1:12" x14ac:dyDescent="0.45">
      <c r="A24" s="30">
        <v>2010</v>
      </c>
      <c r="B24" s="2">
        <v>539.85147011768345</v>
      </c>
      <c r="C24" s="2">
        <v>169.11388899792971</v>
      </c>
      <c r="D24" s="2">
        <f t="shared" si="0"/>
        <v>708.96535911561318</v>
      </c>
      <c r="E24" s="2"/>
      <c r="F24" s="2">
        <v>361.42559999999997</v>
      </c>
      <c r="G24" s="2">
        <v>155.82386301</v>
      </c>
      <c r="H24" s="2">
        <v>308.68579999999997</v>
      </c>
      <c r="I24" s="2"/>
      <c r="J24" s="2">
        <f>(F24-D24)/D24*100</f>
        <v>-49.020696800919275</v>
      </c>
      <c r="K24" s="2">
        <f t="shared" ref="K24:K25" si="3">(G24-B24)/B24*100</f>
        <v>-71.135789817145152</v>
      </c>
      <c r="L24" s="2">
        <f t="shared" si="1"/>
        <v>-56.459678032074109</v>
      </c>
    </row>
    <row r="25" spans="1:12" ht="14.1" customHeight="1" x14ac:dyDescent="0.45">
      <c r="A25" s="30">
        <v>2011</v>
      </c>
      <c r="B25" s="2">
        <v>572.79131246537986</v>
      </c>
      <c r="C25" s="2">
        <v>168.99999465340537</v>
      </c>
      <c r="D25" s="2">
        <f t="shared" si="0"/>
        <v>741.7913071187852</v>
      </c>
      <c r="E25" s="2"/>
      <c r="F25" s="2"/>
      <c r="G25" s="2">
        <v>171.00581459</v>
      </c>
      <c r="H25" s="2">
        <v>304.2704</v>
      </c>
      <c r="I25" s="2"/>
      <c r="J25" s="2"/>
      <c r="K25" s="2">
        <f t="shared" si="3"/>
        <v>-70.145180126080248</v>
      </c>
      <c r="L25" s="2">
        <f t="shared" si="1"/>
        <v>-58.98167084461717</v>
      </c>
    </row>
    <row r="26" spans="1:12" x14ac:dyDescent="0.45">
      <c r="A26" s="30">
        <v>2012</v>
      </c>
      <c r="B26" s="2">
        <v>574.96765309153193</v>
      </c>
      <c r="C26" s="2">
        <v>237.29725464116746</v>
      </c>
      <c r="D26" s="2">
        <f t="shared" si="0"/>
        <v>812.26490773269938</v>
      </c>
      <c r="E26" s="2">
        <v>868.87890000000004</v>
      </c>
      <c r="F26" s="2">
        <v>335.4479</v>
      </c>
      <c r="G26" s="2">
        <v>183.54402976</v>
      </c>
      <c r="H26" s="2">
        <v>306.87189999999998</v>
      </c>
      <c r="I26" s="2">
        <f>(E26-D26)/D26*100</f>
        <v>6.9698926702778623</v>
      </c>
      <c r="J26" s="2">
        <f>(F26-D26)/D26*100</f>
        <v>-58.702155318226623</v>
      </c>
      <c r="K26" s="2">
        <f>(G26-B26)/B26*100</f>
        <v>-68.077503356387822</v>
      </c>
      <c r="L26" s="2">
        <f t="shared" si="1"/>
        <v>-62.220219403964997</v>
      </c>
    </row>
    <row r="27" spans="1:12" x14ac:dyDescent="0.45">
      <c r="A27" s="30">
        <v>2013</v>
      </c>
      <c r="B27" s="2">
        <v>570.6901130981654</v>
      </c>
      <c r="C27" s="2">
        <v>236.62421807907791</v>
      </c>
      <c r="D27" s="2">
        <f t="shared" si="0"/>
        <v>807.31433117724328</v>
      </c>
      <c r="E27" s="2"/>
      <c r="F27" s="2"/>
      <c r="G27" s="2"/>
      <c r="H27" s="2">
        <v>284.53960000000001</v>
      </c>
      <c r="I27" s="2"/>
      <c r="J27" s="2"/>
      <c r="K27" s="2"/>
      <c r="L27" s="2">
        <f t="shared" si="1"/>
        <v>-64.754793887397213</v>
      </c>
    </row>
    <row r="28" spans="1:12" x14ac:dyDescent="0.45">
      <c r="A28" s="30">
        <v>2014</v>
      </c>
      <c r="B28" s="2">
        <v>592.6114258808401</v>
      </c>
      <c r="C28" s="2">
        <v>266.34606834753538</v>
      </c>
      <c r="D28" s="2">
        <f t="shared" si="0"/>
        <v>858.95749422837548</v>
      </c>
      <c r="E28" s="2"/>
      <c r="F28" s="2">
        <v>372.97980000000001</v>
      </c>
      <c r="G28" s="2"/>
      <c r="H28" s="2">
        <v>290.5265</v>
      </c>
      <c r="I28" s="2"/>
      <c r="J28" s="2">
        <f>(F28-D28)/D28*100</f>
        <v>-56.57761850776356</v>
      </c>
      <c r="K28" s="2"/>
      <c r="L28" s="2">
        <f t="shared" si="1"/>
        <v>-66.176847870570398</v>
      </c>
    </row>
    <row r="29" spans="1:12" x14ac:dyDescent="0.45">
      <c r="A29" s="30">
        <v>2015</v>
      </c>
      <c r="B29" s="2">
        <v>624.1191527436531</v>
      </c>
      <c r="C29" s="2">
        <v>234.98564867074927</v>
      </c>
      <c r="D29" s="2">
        <f t="shared" si="0"/>
        <v>859.10480141440235</v>
      </c>
      <c r="E29" s="2">
        <v>1535.8206</v>
      </c>
      <c r="F29" s="2"/>
      <c r="G29" s="2"/>
      <c r="H29" s="2">
        <v>353.50450000000001</v>
      </c>
      <c r="I29" s="2">
        <f>(E29-D29)/D29*100</f>
        <v>78.769877373688828</v>
      </c>
      <c r="J29" s="2"/>
      <c r="K29" s="2"/>
      <c r="L29" s="2">
        <f t="shared" si="1"/>
        <v>-58.851993445037024</v>
      </c>
    </row>
    <row r="30" spans="1:12" x14ac:dyDescent="0.45">
      <c r="A30" s="30">
        <v>2016</v>
      </c>
      <c r="B30" s="2">
        <v>617.97451602896649</v>
      </c>
      <c r="C30" s="2">
        <v>222.35627325587558</v>
      </c>
      <c r="D30" s="2">
        <f t="shared" si="0"/>
        <v>840.33078928484201</v>
      </c>
      <c r="E30" s="2"/>
      <c r="F30" s="2"/>
      <c r="G30" s="2"/>
      <c r="H30" s="2"/>
      <c r="I30" s="2"/>
      <c r="J30" s="2"/>
      <c r="K30" s="2"/>
      <c r="L30" s="2"/>
    </row>
    <row r="31" spans="1:12" x14ac:dyDescent="0.45">
      <c r="B31" s="2"/>
      <c r="C31" s="2"/>
      <c r="D31" s="2"/>
      <c r="E31" s="2"/>
      <c r="F31" s="2"/>
      <c r="G31" s="2"/>
      <c r="H31" s="2" t="s">
        <v>193</v>
      </c>
      <c r="I31" s="2">
        <f>AVERAGE(I2:I29)</f>
        <v>48.86436911318178</v>
      </c>
      <c r="J31" s="2">
        <f>AVERAGE(J2:J29)</f>
        <v>-40.114456349895946</v>
      </c>
      <c r="K31" s="2">
        <f>AVERAGE(K2:K29)</f>
        <v>-64.896210750313585</v>
      </c>
      <c r="L31" s="2">
        <f>AVERAGE(L2:L29)</f>
        <v>-50.041707858057016</v>
      </c>
    </row>
    <row r="32" spans="1:12" x14ac:dyDescent="0.45">
      <c r="B32" s="2"/>
      <c r="C32" s="2"/>
      <c r="D32" s="2"/>
      <c r="E32" s="2"/>
      <c r="F32" s="2"/>
      <c r="G32" s="2"/>
      <c r="H32" s="2" t="s">
        <v>195</v>
      </c>
      <c r="I32" s="2">
        <f>MAX(I2:I29)</f>
        <v>105.8643846489191</v>
      </c>
      <c r="J32" s="2">
        <f>MAX(J2:J29)</f>
        <v>-1.4373866693038739</v>
      </c>
      <c r="K32" s="2">
        <f>MAX(K2:K29)</f>
        <v>-57.122332597555612</v>
      </c>
      <c r="L32" s="2">
        <f>MAX(L2:L29)</f>
        <v>-36.472241670042692</v>
      </c>
    </row>
    <row r="33" spans="2:12" x14ac:dyDescent="0.45">
      <c r="B33" s="2"/>
      <c r="C33" s="2"/>
      <c r="D33" s="2"/>
      <c r="E33" s="2"/>
      <c r="F33" s="2"/>
      <c r="G33" s="2"/>
      <c r="H33" s="2" t="s">
        <v>194</v>
      </c>
      <c r="I33" s="2">
        <f>MIN(I2:I29)</f>
        <v>6.9698926702778623</v>
      </c>
      <c r="J33" s="2">
        <f>MIN(J2:J29)</f>
        <v>-58.702155318226623</v>
      </c>
      <c r="K33" s="2">
        <f>MIN(K2:K29)</f>
        <v>-71.135789817145152</v>
      </c>
      <c r="L33" s="2">
        <f>MIN(L2:L29)</f>
        <v>-66.176847870570398</v>
      </c>
    </row>
  </sheetData>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I11"/>
  <sheetViews>
    <sheetView workbookViewId="0">
      <selection activeCell="D6" sqref="D6"/>
    </sheetView>
  </sheetViews>
  <sheetFormatPr defaultColWidth="9.1328125" defaultRowHeight="14.25" x14ac:dyDescent="0.45"/>
  <cols>
    <col min="1" max="16384" width="9.1328125" style="60"/>
  </cols>
  <sheetData>
    <row r="1" spans="1:9" x14ac:dyDescent="0.45">
      <c r="A1" s="60" t="s">
        <v>141</v>
      </c>
      <c r="B1" s="60" t="s">
        <v>142</v>
      </c>
      <c r="C1" s="60" t="s">
        <v>143</v>
      </c>
      <c r="D1" s="60" t="s">
        <v>144</v>
      </c>
      <c r="E1" s="60" t="s">
        <v>130</v>
      </c>
      <c r="F1" s="60" t="s">
        <v>129</v>
      </c>
      <c r="G1" s="60" t="s">
        <v>128</v>
      </c>
      <c r="H1" s="60" t="s">
        <v>49</v>
      </c>
      <c r="I1" s="60" t="s">
        <v>127</v>
      </c>
    </row>
    <row r="2" spans="1:9" x14ac:dyDescent="0.45">
      <c r="A2" s="60">
        <v>1988</v>
      </c>
      <c r="B2" s="60">
        <v>1053</v>
      </c>
      <c r="C2" s="65">
        <v>-0.27151559196930403</v>
      </c>
      <c r="D2" s="65">
        <v>-8.7859306721994004E-2</v>
      </c>
      <c r="E2" s="65">
        <v>9.1829782942587396E-2</v>
      </c>
      <c r="F2" s="65">
        <v>1.1276346161123E-2</v>
      </c>
      <c r="G2" s="65">
        <v>-8.6194715274833897E-2</v>
      </c>
      <c r="H2" s="65">
        <v>-0.26337296832273299</v>
      </c>
      <c r="I2" s="65">
        <v>-0.78344965006080203</v>
      </c>
    </row>
    <row r="3" spans="1:9" x14ac:dyDescent="0.45">
      <c r="A3" s="60">
        <v>1991</v>
      </c>
      <c r="B3" s="60">
        <v>1033</v>
      </c>
      <c r="C3" s="65">
        <v>-0.31687781843795798</v>
      </c>
      <c r="D3" s="65">
        <v>-6.0427829316431501E-2</v>
      </c>
      <c r="E3" s="65">
        <v>8.5937239004406196E-2</v>
      </c>
      <c r="F3" s="65">
        <v>1.5324245614542299E-2</v>
      </c>
      <c r="G3" s="65">
        <v>-5.5910130788640301E-2</v>
      </c>
      <c r="H3" s="65">
        <v>-0.23321655741546099</v>
      </c>
      <c r="I3" s="65">
        <v>-0.78359985809249499</v>
      </c>
    </row>
    <row r="4" spans="1:9" x14ac:dyDescent="0.45">
      <c r="A4" s="60">
        <v>1994</v>
      </c>
      <c r="B4" s="60">
        <v>1358</v>
      </c>
      <c r="C4" s="65">
        <v>-0.18084464367741901</v>
      </c>
      <c r="D4" s="65">
        <v>-9.2426283284281804E-2</v>
      </c>
      <c r="E4" s="65">
        <v>0.112246911487226</v>
      </c>
      <c r="F4" s="65">
        <v>3.9988332384860797E-2</v>
      </c>
      <c r="G4" s="65">
        <v>-6.6250803599178107E-2</v>
      </c>
      <c r="H4" s="65">
        <v>-0.24843571533115699</v>
      </c>
      <c r="I4" s="65">
        <v>-0.58212251807970705</v>
      </c>
    </row>
    <row r="5" spans="1:9" x14ac:dyDescent="0.45">
      <c r="A5" s="60">
        <v>1997</v>
      </c>
      <c r="B5" s="60">
        <v>1458</v>
      </c>
      <c r="C5" s="65">
        <v>-0.21075234988716501</v>
      </c>
      <c r="D5" s="65">
        <v>-8.4573205620690095E-2</v>
      </c>
      <c r="E5" s="65">
        <v>9.1063515865171099E-2</v>
      </c>
      <c r="F5" s="65">
        <v>2.6519717066470001E-2</v>
      </c>
      <c r="G5" s="65">
        <v>-7.9940370674338804E-2</v>
      </c>
      <c r="H5" s="65">
        <v>-0.25412915421603199</v>
      </c>
      <c r="I5" s="65">
        <v>-0.602095693818955</v>
      </c>
    </row>
    <row r="6" spans="1:9" x14ac:dyDescent="0.45">
      <c r="A6" s="60">
        <v>2000</v>
      </c>
      <c r="B6" s="60">
        <v>1279</v>
      </c>
      <c r="C6" s="65">
        <v>-0.52832613427209696</v>
      </c>
      <c r="D6" s="65">
        <v>-0.123624123031079</v>
      </c>
      <c r="E6" s="65">
        <v>0.13014578540435401</v>
      </c>
      <c r="F6" s="65">
        <v>2.1648440287084E-2</v>
      </c>
      <c r="G6" s="65">
        <v>-0.10652008317377901</v>
      </c>
      <c r="H6" s="65">
        <v>-0.42190485742655898</v>
      </c>
      <c r="I6" s="65">
        <v>-1.3408817140809199</v>
      </c>
    </row>
    <row r="7" spans="1:9" x14ac:dyDescent="0.45">
      <c r="A7" s="60">
        <v>2003</v>
      </c>
      <c r="B7" s="60">
        <v>1012</v>
      </c>
      <c r="C7" s="65">
        <v>-9.5050465648324797E-2</v>
      </c>
      <c r="D7" s="65">
        <v>-7.2096338478785604E-2</v>
      </c>
      <c r="E7" s="65">
        <v>9.5537200951001197E-2</v>
      </c>
      <c r="F7" s="65">
        <v>5.5472571966376498E-2</v>
      </c>
      <c r="G7" s="65">
        <v>-3.2932130048106502E-2</v>
      </c>
      <c r="H7" s="65">
        <v>-0.15214001685141801</v>
      </c>
      <c r="I7" s="65">
        <v>-0.35303243379608201</v>
      </c>
    </row>
    <row r="8" spans="1:9" x14ac:dyDescent="0.45">
      <c r="A8" s="60">
        <v>2006</v>
      </c>
      <c r="B8" s="60">
        <v>963</v>
      </c>
      <c r="C8" s="65">
        <v>-0.118586042140845</v>
      </c>
      <c r="D8" s="65">
        <v>-8.6290011116245305E-2</v>
      </c>
      <c r="E8" s="65">
        <v>9.1290076522024505E-2</v>
      </c>
      <c r="F8" s="65">
        <v>4.67320794527991E-2</v>
      </c>
      <c r="G8" s="65">
        <v>-5.0707937123515998E-2</v>
      </c>
      <c r="H8" s="65">
        <v>-0.18550263196077699</v>
      </c>
      <c r="I8" s="65">
        <v>-0.405136364693579</v>
      </c>
    </row>
    <row r="9" spans="1:9" x14ac:dyDescent="0.45">
      <c r="A9" s="60">
        <v>2009</v>
      </c>
      <c r="B9" s="60">
        <v>842</v>
      </c>
      <c r="C9" s="65">
        <v>-0.325954926918398</v>
      </c>
      <c r="D9" s="65">
        <v>-0.109753644025469</v>
      </c>
      <c r="E9" s="65">
        <v>0.107951633148448</v>
      </c>
      <c r="F9" s="65">
        <v>2.9734766183267598E-2</v>
      </c>
      <c r="G9" s="65">
        <v>-0.108436042766268</v>
      </c>
      <c r="H9" s="65">
        <v>-0.34591179472530398</v>
      </c>
      <c r="I9" s="65">
        <v>-0.920999467652173</v>
      </c>
    </row>
    <row r="10" spans="1:9" x14ac:dyDescent="0.45">
      <c r="A10" s="60">
        <v>2012</v>
      </c>
      <c r="B10" s="60">
        <v>780</v>
      </c>
      <c r="C10" s="65">
        <v>-0.17087541436294701</v>
      </c>
      <c r="D10" s="65">
        <v>-5.7264872358510098E-2</v>
      </c>
      <c r="E10" s="65">
        <v>0.134526398844034</v>
      </c>
      <c r="F10" s="65">
        <v>6.7296947657017298E-2</v>
      </c>
      <c r="G10" s="65">
        <v>-5.4113033965256602E-2</v>
      </c>
      <c r="H10" s="65">
        <v>-0.22688946243823699</v>
      </c>
      <c r="I10" s="65">
        <v>-0.55077052101711899</v>
      </c>
    </row>
    <row r="11" spans="1:9" x14ac:dyDescent="0.45">
      <c r="A11" s="60">
        <v>2015</v>
      </c>
      <c r="B11" s="60">
        <v>813</v>
      </c>
      <c r="C11" s="65">
        <v>-0.37590619021323202</v>
      </c>
      <c r="D11" s="65">
        <v>-0.11487679558640899</v>
      </c>
      <c r="E11" s="65">
        <v>8.7610889319313698E-2</v>
      </c>
      <c r="F11" s="65">
        <v>1.9283124391756199E-2</v>
      </c>
      <c r="G11" s="65">
        <v>-0.11929490508337599</v>
      </c>
      <c r="H11" s="65">
        <v>-0.35792937623309301</v>
      </c>
      <c r="I11" s="65">
        <v>-1.03284299791748</v>
      </c>
    </row>
  </sheetData>
  <pageMargins left="0.7" right="0.7" top="0.75" bottom="0.75" header="0.3" footer="0.3"/>
  <pageSetup orientation="portrait" horizontalDpi="4294967295" verticalDpi="4294967295"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E38"/>
  <sheetViews>
    <sheetView workbookViewId="0">
      <selection activeCell="B13" sqref="B13"/>
    </sheetView>
  </sheetViews>
  <sheetFormatPr defaultColWidth="9.1328125" defaultRowHeight="14.25" x14ac:dyDescent="0.45"/>
  <cols>
    <col min="1" max="16384" width="9.1328125" style="60"/>
  </cols>
  <sheetData>
    <row r="1" spans="1:5" x14ac:dyDescent="0.45">
      <c r="A1" s="60" t="s">
        <v>141</v>
      </c>
      <c r="B1" s="60" t="s">
        <v>290</v>
      </c>
      <c r="C1" s="60" t="s">
        <v>291</v>
      </c>
      <c r="D1" s="60" t="s">
        <v>292</v>
      </c>
      <c r="E1" s="60" t="s">
        <v>293</v>
      </c>
    </row>
    <row r="2" spans="1:5" x14ac:dyDescent="0.45">
      <c r="A2" s="60">
        <v>1980</v>
      </c>
      <c r="B2" s="60">
        <v>0.201036011536112</v>
      </c>
      <c r="C2" s="60">
        <v>1.6715949964342499E-2</v>
      </c>
    </row>
    <row r="3" spans="1:5" x14ac:dyDescent="0.45">
      <c r="A3" s="60">
        <v>1981</v>
      </c>
      <c r="B3" s="60">
        <v>-0.117561350606962</v>
      </c>
      <c r="C3" s="60">
        <v>-3.7726518146623401E-2</v>
      </c>
      <c r="D3" s="60">
        <v>-5.5696354894689097E-2</v>
      </c>
    </row>
    <row r="4" spans="1:5" x14ac:dyDescent="0.45">
      <c r="A4" s="60">
        <v>1982</v>
      </c>
      <c r="B4" s="60">
        <v>0.119176463134344</v>
      </c>
      <c r="C4" s="60">
        <v>-6.7038852401398896E-2</v>
      </c>
      <c r="D4" s="60">
        <v>0.145003863702554</v>
      </c>
    </row>
    <row r="5" spans="1:5" x14ac:dyDescent="0.45">
      <c r="A5" s="60">
        <v>1983</v>
      </c>
      <c r="B5" s="60">
        <v>1.25692491750322</v>
      </c>
      <c r="C5" s="60">
        <v>1.2807621937098401E-2</v>
      </c>
      <c r="D5" s="60">
        <v>0.25682892645877298</v>
      </c>
      <c r="E5" s="60">
        <v>0.107639058916717</v>
      </c>
    </row>
    <row r="6" spans="1:5" x14ac:dyDescent="0.45">
      <c r="A6" s="60">
        <v>1984</v>
      </c>
      <c r="B6" s="60">
        <v>-5.29164372608181E-2</v>
      </c>
      <c r="C6" s="60">
        <v>1.9388019749745099E-2</v>
      </c>
      <c r="D6" s="60">
        <v>-1.8656900350477498E-2</v>
      </c>
      <c r="E6" s="60">
        <v>0.121935777811506</v>
      </c>
    </row>
    <row r="7" spans="1:5" x14ac:dyDescent="0.45">
      <c r="A7" s="60">
        <v>1985</v>
      </c>
      <c r="B7" s="60">
        <v>0.19709814719362601</v>
      </c>
      <c r="C7" s="60">
        <v>7.0586069973556001E-2</v>
      </c>
      <c r="D7" s="60">
        <v>0.217407805310561</v>
      </c>
      <c r="E7" s="60">
        <v>0.14510252994745099</v>
      </c>
    </row>
    <row r="8" spans="1:5" x14ac:dyDescent="0.45">
      <c r="A8" s="60">
        <v>1986</v>
      </c>
      <c r="B8" s="60">
        <v>0.12605585146282999</v>
      </c>
      <c r="C8" s="60">
        <v>-3.7919684773966199E-2</v>
      </c>
      <c r="D8" s="60">
        <v>0.16102218758019701</v>
      </c>
      <c r="E8" s="60">
        <v>0.115233546822469</v>
      </c>
    </row>
    <row r="9" spans="1:5" x14ac:dyDescent="0.45">
      <c r="A9" s="60">
        <v>1987</v>
      </c>
      <c r="B9" s="60">
        <v>-1.99736094371053E-2</v>
      </c>
      <c r="C9" s="60">
        <v>-7.1202055337604396E-3</v>
      </c>
      <c r="D9" s="60">
        <v>4.3242959521916299E-3</v>
      </c>
      <c r="E9" s="60">
        <v>0.123872013823944</v>
      </c>
    </row>
    <row r="10" spans="1:5" x14ac:dyDescent="0.45">
      <c r="A10" s="60">
        <v>1988</v>
      </c>
      <c r="B10" s="60">
        <v>6.3156980053916401E-2</v>
      </c>
      <c r="C10" s="60">
        <v>-1.5152549274761E-2</v>
      </c>
      <c r="D10" s="60">
        <v>7.1368078018451103E-2</v>
      </c>
      <c r="E10" s="60">
        <v>7.7005026438308394E-2</v>
      </c>
    </row>
    <row r="11" spans="1:5" x14ac:dyDescent="0.45">
      <c r="A11" s="60">
        <v>1989</v>
      </c>
      <c r="B11" s="60">
        <v>0.20909895344541299</v>
      </c>
      <c r="C11" s="60">
        <v>2.3849839694015999E-2</v>
      </c>
      <c r="D11" s="60">
        <v>0.19604535844564899</v>
      </c>
      <c r="E11" s="60">
        <v>8.7727496318160597E-2</v>
      </c>
    </row>
    <row r="12" spans="1:5" x14ac:dyDescent="0.45">
      <c r="A12" s="60">
        <v>1990</v>
      </c>
      <c r="B12" s="60">
        <v>-9.2513455620042304E-2</v>
      </c>
      <c r="C12" s="60">
        <v>-4.3833571413847998E-3</v>
      </c>
      <c r="D12" s="60">
        <v>-7.5853982131470404E-2</v>
      </c>
      <c r="E12" s="60">
        <v>5.7975594750221099E-2</v>
      </c>
    </row>
    <row r="13" spans="1:5" x14ac:dyDescent="0.45">
      <c r="A13" s="60">
        <v>1991</v>
      </c>
      <c r="B13" s="60">
        <v>0.26904349245210102</v>
      </c>
      <c r="C13" s="60">
        <v>5.2636683710976399E-2</v>
      </c>
      <c r="D13" s="60">
        <v>0.312035914758442</v>
      </c>
      <c r="E13" s="60">
        <v>0.13190850525456399</v>
      </c>
    </row>
    <row r="14" spans="1:5" x14ac:dyDescent="0.45">
      <c r="A14" s="60">
        <v>1992</v>
      </c>
      <c r="B14" s="60">
        <v>5.8364258523273302E-2</v>
      </c>
      <c r="C14" s="60">
        <v>-1.0143744604833799E-3</v>
      </c>
      <c r="D14" s="60">
        <v>0.108700097131576</v>
      </c>
      <c r="E14" s="60">
        <v>0.103655338721517</v>
      </c>
    </row>
    <row r="15" spans="1:5" x14ac:dyDescent="0.45">
      <c r="A15" s="60">
        <v>1993</v>
      </c>
      <c r="B15" s="60">
        <v>6.7948208197650295E-2</v>
      </c>
      <c r="C15" s="60">
        <v>2.2680373388099102E-2</v>
      </c>
      <c r="D15" s="60">
        <v>0.15997772189373599</v>
      </c>
      <c r="E15" s="60">
        <v>0.19051942453151199</v>
      </c>
    </row>
    <row r="16" spans="1:5" x14ac:dyDescent="0.45">
      <c r="A16" s="60">
        <v>1994</v>
      </c>
      <c r="B16" s="60">
        <v>-3.23708747670685E-2</v>
      </c>
      <c r="C16" s="60">
        <v>-5.9783683051383298E-2</v>
      </c>
      <c r="D16" s="60">
        <v>-6.7857674573833498E-3</v>
      </c>
      <c r="E16" s="60">
        <v>8.5014534986285195E-2</v>
      </c>
    </row>
    <row r="17" spans="1:5" x14ac:dyDescent="0.45">
      <c r="A17" s="60">
        <v>1995</v>
      </c>
      <c r="B17" s="60">
        <v>0.32556961940916801</v>
      </c>
      <c r="C17" s="60">
        <v>3.00882432324567E-2</v>
      </c>
      <c r="D17" s="60">
        <v>0.355953928245833</v>
      </c>
      <c r="E17" s="60">
        <v>0.16032372443738599</v>
      </c>
    </row>
    <row r="18" spans="1:5" x14ac:dyDescent="0.45">
      <c r="A18" s="60">
        <v>1996</v>
      </c>
      <c r="B18" s="60">
        <v>0.18446475912879901</v>
      </c>
      <c r="C18" s="60">
        <v>7.43556437547509E-2</v>
      </c>
      <c r="D18" s="60">
        <v>0.224005490773661</v>
      </c>
      <c r="E18" s="60">
        <v>0.18129149716948101</v>
      </c>
    </row>
    <row r="19" spans="1:5" x14ac:dyDescent="0.45">
      <c r="A19" s="60">
        <v>1997</v>
      </c>
      <c r="B19" s="60">
        <v>0.30200131792616902</v>
      </c>
      <c r="C19" s="60">
        <v>0.178812956478998</v>
      </c>
      <c r="D19" s="60">
        <v>0.31373638769319701</v>
      </c>
      <c r="E19" s="60">
        <v>0.29671791090104899</v>
      </c>
    </row>
    <row r="20" spans="1:5" x14ac:dyDescent="0.45">
      <c r="A20" s="60">
        <v>1998</v>
      </c>
      <c r="B20" s="60">
        <v>0.21397909189445899</v>
      </c>
      <c r="C20" s="60">
        <v>0.12411016025179</v>
      </c>
      <c r="D20" s="60">
        <v>0.19083888955838399</v>
      </c>
      <c r="E20" s="60">
        <v>0.24179012353797999</v>
      </c>
    </row>
    <row r="21" spans="1:5" x14ac:dyDescent="0.45">
      <c r="A21" s="60">
        <v>1999</v>
      </c>
      <c r="B21" s="60">
        <v>0.21401354187646701</v>
      </c>
      <c r="C21" s="60">
        <v>9.6117660889297005E-2</v>
      </c>
      <c r="D21" s="60">
        <v>0.24680338476425401</v>
      </c>
      <c r="E21" s="60">
        <v>0.24945246138781399</v>
      </c>
    </row>
    <row r="22" spans="1:5" x14ac:dyDescent="0.45">
      <c r="A22" s="60">
        <v>2000</v>
      </c>
      <c r="B22" s="60">
        <v>3.6824832102768601E-2</v>
      </c>
      <c r="C22" s="60">
        <v>3.09508062035572E-2</v>
      </c>
      <c r="D22" s="60">
        <v>-6.44894316609179E-3</v>
      </c>
      <c r="E22" s="60">
        <v>0.13836200115491001</v>
      </c>
    </row>
    <row r="23" spans="1:5" x14ac:dyDescent="0.45">
      <c r="A23" s="60">
        <v>2001</v>
      </c>
      <c r="B23" s="60">
        <v>-0.148300415550188</v>
      </c>
      <c r="C23" s="60">
        <v>-3.3241947978287903E-2</v>
      </c>
      <c r="D23" s="60">
        <v>-0.148635704531761</v>
      </c>
      <c r="E23" s="60">
        <v>1.7890821663040402E-2</v>
      </c>
    </row>
    <row r="24" spans="1:5" x14ac:dyDescent="0.45">
      <c r="A24" s="60">
        <v>2002</v>
      </c>
      <c r="B24" s="60">
        <v>-0.208964964299339</v>
      </c>
      <c r="C24" s="60">
        <v>-0.163915782662789</v>
      </c>
      <c r="D24" s="60">
        <v>-0.20727142949024299</v>
      </c>
      <c r="E24" s="60">
        <v>-0.124727310451183</v>
      </c>
    </row>
    <row r="25" spans="1:5" x14ac:dyDescent="0.45">
      <c r="A25" s="60">
        <v>2003</v>
      </c>
      <c r="B25" s="60">
        <v>0.28644910600722101</v>
      </c>
      <c r="C25" s="60">
        <v>-9.1025305620803895E-2</v>
      </c>
      <c r="D25" s="60">
        <v>0.27984812670755199</v>
      </c>
      <c r="E25" s="60">
        <v>-4.7643697492047603E-2</v>
      </c>
    </row>
    <row r="26" spans="1:5" x14ac:dyDescent="0.45">
      <c r="A26" s="60">
        <v>2004</v>
      </c>
      <c r="B26" s="60">
        <v>0.106683352876108</v>
      </c>
      <c r="C26" s="60">
        <v>-4.7222402707030597E-3</v>
      </c>
      <c r="D26" s="60">
        <v>0.120330487890486</v>
      </c>
      <c r="E26" s="60">
        <v>4.3621539961601299E-2</v>
      </c>
    </row>
    <row r="27" spans="1:5" x14ac:dyDescent="0.45">
      <c r="A27" s="60">
        <v>2005</v>
      </c>
      <c r="B27" s="60">
        <v>4.6076034848353598E-2</v>
      </c>
      <c r="C27" s="60">
        <v>8.9825947363825598E-2</v>
      </c>
      <c r="D27" s="60">
        <v>3.3855990476503797E-2</v>
      </c>
      <c r="E27" s="60">
        <v>0.14021884214150199</v>
      </c>
    </row>
    <row r="28" spans="1:5" x14ac:dyDescent="0.45">
      <c r="A28" s="60">
        <v>2006</v>
      </c>
      <c r="B28" s="60">
        <v>0.102738517660018</v>
      </c>
      <c r="C28" s="60">
        <v>2.95380447599385E-2</v>
      </c>
      <c r="D28" s="60">
        <v>0.113531248813312</v>
      </c>
      <c r="E28" s="60">
        <v>8.85194764431185E-2</v>
      </c>
    </row>
    <row r="29" spans="1:5" x14ac:dyDescent="0.45">
      <c r="A29" s="60">
        <v>2007</v>
      </c>
      <c r="B29" s="60">
        <v>1.32993463659602E-2</v>
      </c>
      <c r="C29" s="60">
        <v>-1.24569847538771E-2</v>
      </c>
      <c r="D29" s="60">
        <v>2.4297590170789798E-3</v>
      </c>
      <c r="E29" s="60">
        <v>4.8911393588486597E-2</v>
      </c>
    </row>
    <row r="30" spans="1:5" x14ac:dyDescent="0.45">
      <c r="A30" s="60">
        <v>2008</v>
      </c>
      <c r="B30" s="60">
        <v>-0.36932249966171699</v>
      </c>
      <c r="C30" s="60">
        <v>-0.168566455111721</v>
      </c>
      <c r="D30" s="60">
        <v>-0.36781527272026898</v>
      </c>
      <c r="E30" s="60">
        <v>-0.109705986207006</v>
      </c>
    </row>
    <row r="31" spans="1:5" x14ac:dyDescent="0.45">
      <c r="A31" s="60">
        <v>2009</v>
      </c>
      <c r="B31" s="60">
        <v>0.21584771377509401</v>
      </c>
      <c r="C31" s="60">
        <v>-0.10836526592106201</v>
      </c>
      <c r="D31" s="60">
        <v>0.20308509854982301</v>
      </c>
      <c r="E31" s="60">
        <v>-8.6451870382963703E-2</v>
      </c>
    </row>
    <row r="32" spans="1:5" x14ac:dyDescent="0.45">
      <c r="A32" s="60">
        <v>2010</v>
      </c>
      <c r="B32" s="60">
        <v>0.16747576553473401</v>
      </c>
      <c r="C32" s="60">
        <v>-6.4802838220402795E-2</v>
      </c>
      <c r="D32" s="60">
        <v>0.166320465353609</v>
      </c>
      <c r="E32" s="60">
        <v>-3.9156297974210198E-2</v>
      </c>
    </row>
    <row r="33" spans="1:5" x14ac:dyDescent="0.45">
      <c r="A33" s="60">
        <v>2011</v>
      </c>
      <c r="B33" s="60">
        <v>-1.44587598523323E-2</v>
      </c>
      <c r="C33" s="60">
        <v>7.5978001033329495E-2</v>
      </c>
      <c r="D33" s="60">
        <v>-1.0480503416411401E-2</v>
      </c>
      <c r="E33" s="60">
        <v>0.115611202142636</v>
      </c>
    </row>
    <row r="34" spans="1:5" x14ac:dyDescent="0.45">
      <c r="A34" s="60">
        <v>2012</v>
      </c>
      <c r="B34" s="60">
        <v>0.120363213273597</v>
      </c>
      <c r="C34" s="60">
        <v>4.5720713118446499E-2</v>
      </c>
      <c r="D34" s="60">
        <v>0.141805836872193</v>
      </c>
      <c r="E34" s="60">
        <v>9.6338932707185299E-2</v>
      </c>
    </row>
    <row r="35" spans="1:5" x14ac:dyDescent="0.45">
      <c r="A35" s="60">
        <v>2013</v>
      </c>
      <c r="B35" s="60">
        <v>0.26723858750746599</v>
      </c>
      <c r="C35" s="60">
        <v>7.5217173983873897E-2</v>
      </c>
      <c r="D35" s="60">
        <v>0.28098073709110599</v>
      </c>
      <c r="E35" s="60">
        <v>0.13114879655550901</v>
      </c>
    </row>
    <row r="36" spans="1:5" x14ac:dyDescent="0.45">
      <c r="A36" s="60">
        <v>2014</v>
      </c>
      <c r="B36" s="60">
        <v>9.5200607177072599E-2</v>
      </c>
      <c r="C36" s="60">
        <v>0.10879025547120801</v>
      </c>
      <c r="D36" s="60">
        <v>0.101212782790911</v>
      </c>
      <c r="E36" s="60">
        <v>0.17220085532444401</v>
      </c>
    </row>
    <row r="37" spans="1:5" x14ac:dyDescent="0.45">
      <c r="A37" s="60">
        <v>2015</v>
      </c>
      <c r="B37" s="60">
        <v>-2.9856986575514301E-2</v>
      </c>
      <c r="C37" s="60">
        <v>5.6306662376958597E-2</v>
      </c>
      <c r="D37" s="60">
        <v>-3.7427941167748002E-2</v>
      </c>
      <c r="E37" s="60">
        <v>0.107343510070287</v>
      </c>
    </row>
    <row r="38" spans="1:5" x14ac:dyDescent="0.45">
      <c r="A38" s="60">
        <v>2016</v>
      </c>
      <c r="B38" s="60">
        <v>9.175107887075E-2</v>
      </c>
      <c r="C38" s="60">
        <v>1.9869915243374399E-2</v>
      </c>
      <c r="D38" s="60">
        <v>8.0154534149025E-2</v>
      </c>
      <c r="E38" s="60">
        <v>4.6156832998845501E-2</v>
      </c>
    </row>
  </sheetData>
  <pageMargins left="0.7" right="0.7" top="0.75" bottom="0.75" header="0.3" footer="0.3"/>
  <pageSetup orientation="portrait" horizontalDpi="4294967295" verticalDpi="4294967295"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J5"/>
  <sheetViews>
    <sheetView zoomScaleNormal="100" workbookViewId="0">
      <selection activeCell="A6" sqref="A6:J6"/>
    </sheetView>
  </sheetViews>
  <sheetFormatPr defaultRowHeight="14.25" x14ac:dyDescent="0.45"/>
  <cols>
    <col min="1" max="1" width="16.1328125"/>
    <col min="2" max="2" width="5.1328125"/>
    <col min="3" max="3" width="12"/>
    <col min="4" max="4" width="14"/>
    <col min="5" max="5" width="12"/>
    <col min="6" max="7" width="12.86328125"/>
    <col min="8" max="10" width="12"/>
    <col min="11" max="1025" width="8.3984375"/>
  </cols>
  <sheetData>
    <row r="1" spans="1:10" x14ac:dyDescent="0.45">
      <c r="A1" t="s">
        <v>145</v>
      </c>
      <c r="B1" t="s">
        <v>146</v>
      </c>
      <c r="C1" t="s">
        <v>147</v>
      </c>
      <c r="D1" t="s">
        <v>148</v>
      </c>
      <c r="E1" t="s">
        <v>149</v>
      </c>
      <c r="F1" t="s">
        <v>127</v>
      </c>
      <c r="G1" t="s">
        <v>49</v>
      </c>
      <c r="H1" t="s">
        <v>128</v>
      </c>
      <c r="I1" t="s">
        <v>129</v>
      </c>
      <c r="J1" t="s">
        <v>130</v>
      </c>
    </row>
    <row r="2" spans="1:10" x14ac:dyDescent="0.45">
      <c r="A2" t="s">
        <v>150</v>
      </c>
      <c r="B2">
        <v>1928</v>
      </c>
      <c r="C2" s="28">
        <v>6.79021004349811E-2</v>
      </c>
      <c r="D2" s="28">
        <v>-2.1343236434108501E-2</v>
      </c>
      <c r="E2" s="28">
        <v>0.82861336249050399</v>
      </c>
      <c r="F2" s="28">
        <v>-0.25527414583084801</v>
      </c>
      <c r="G2" s="28">
        <v>-2.2523262785501399E-2</v>
      </c>
      <c r="H2" s="28">
        <v>6.5023758078042504E-2</v>
      </c>
      <c r="I2" s="28">
        <v>0.29807333333333302</v>
      </c>
      <c r="J2" s="28">
        <v>0.58247629370629295</v>
      </c>
    </row>
    <row r="3" spans="1:10" x14ac:dyDescent="0.45">
      <c r="A3" t="s">
        <v>134</v>
      </c>
      <c r="B3">
        <v>201</v>
      </c>
      <c r="C3" s="28">
        <v>0.26630016024125802</v>
      </c>
      <c r="D3" s="28">
        <v>4.7680129379986502E-2</v>
      </c>
      <c r="E3" s="28">
        <v>0.52359077729447001</v>
      </c>
      <c r="F3" s="28">
        <v>-0.19987777777777699</v>
      </c>
      <c r="G3" s="28">
        <v>2.7337367088607501E-2</v>
      </c>
      <c r="H3" s="28">
        <v>0.20522279069767399</v>
      </c>
      <c r="I3" s="28">
        <v>0.488226037195994</v>
      </c>
      <c r="J3" s="28">
        <v>0.9</v>
      </c>
    </row>
    <row r="4" spans="1:10" x14ac:dyDescent="0.45">
      <c r="A4" t="s">
        <v>151</v>
      </c>
      <c r="B4">
        <v>5585</v>
      </c>
      <c r="C4" s="28">
        <v>0.30298356802577497</v>
      </c>
      <c r="D4" s="28">
        <v>6.8786585809868697E-2</v>
      </c>
      <c r="E4" s="28">
        <v>0.51581875909108499</v>
      </c>
      <c r="F4" s="28">
        <v>-5.9113382352941099E-2</v>
      </c>
      <c r="G4" s="28">
        <v>6.4773913043478196E-2</v>
      </c>
      <c r="H4" s="28">
        <v>0.23305000000000001</v>
      </c>
      <c r="I4" s="28">
        <v>0.47826086956521702</v>
      </c>
      <c r="J4" s="28">
        <v>0.78168527213114702</v>
      </c>
    </row>
    <row r="5" spans="1:10" x14ac:dyDescent="0.45">
      <c r="A5" t="s">
        <v>152</v>
      </c>
      <c r="B5">
        <v>1120</v>
      </c>
      <c r="C5" s="28">
        <v>0.41340730485761401</v>
      </c>
      <c r="D5" s="28">
        <v>0.31621454461920701</v>
      </c>
      <c r="E5" s="28">
        <v>0.49884886623980901</v>
      </c>
      <c r="F5" s="28">
        <v>0</v>
      </c>
      <c r="G5" s="28">
        <v>0.13324621212121199</v>
      </c>
      <c r="H5" s="28">
        <v>0.36658345672365</v>
      </c>
      <c r="I5" s="28">
        <v>0.61538898601398595</v>
      </c>
      <c r="J5" s="28">
        <v>0.97960027972027897</v>
      </c>
    </row>
  </sheetData>
  <pageMargins left="0.7" right="0.7" top="0.75" bottom="0.75" header="0.51180555555555496" footer="0.51180555555555496"/>
  <pageSetup scale="74" firstPageNumber="0" orientation="portrait" horizontalDpi="4294967295" verticalDpi="4294967295"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Q33"/>
  <sheetViews>
    <sheetView workbookViewId="0">
      <selection activeCell="AB16" sqref="A14:AB16"/>
    </sheetView>
  </sheetViews>
  <sheetFormatPr defaultRowHeight="14.25" x14ac:dyDescent="0.45"/>
  <cols>
    <col min="1" max="1" width="8.1328125" bestFit="1" customWidth="1"/>
    <col min="2" max="2" width="13.59765625" bestFit="1" customWidth="1"/>
    <col min="3" max="3" width="21.1328125" bestFit="1" customWidth="1"/>
    <col min="4" max="4" width="21.1328125" customWidth="1"/>
    <col min="5" max="5" width="11.59765625" bestFit="1" customWidth="1"/>
    <col min="6" max="6" width="18.1328125" bestFit="1" customWidth="1"/>
    <col min="7" max="9" width="18.1328125" customWidth="1"/>
    <col min="10" max="10" width="19.86328125" bestFit="1" customWidth="1"/>
    <col min="11" max="11" width="27.59765625" bestFit="1" customWidth="1"/>
    <col min="12" max="12" width="35.1328125" bestFit="1" customWidth="1"/>
    <col min="13" max="13" width="25" bestFit="1" customWidth="1"/>
    <col min="14" max="14" width="25.3984375" bestFit="1" customWidth="1"/>
    <col min="15" max="15" width="12.59765625" bestFit="1" customWidth="1"/>
  </cols>
  <sheetData>
    <row r="1" spans="1:17" x14ac:dyDescent="0.45">
      <c r="A1" t="s">
        <v>2</v>
      </c>
      <c r="B1" t="s">
        <v>172</v>
      </c>
      <c r="C1" t="s">
        <v>173</v>
      </c>
      <c r="D1" t="s">
        <v>199</v>
      </c>
      <c r="E1" t="s">
        <v>174</v>
      </c>
      <c r="F1" t="s">
        <v>175</v>
      </c>
      <c r="G1" t="s">
        <v>200</v>
      </c>
      <c r="H1" t="s">
        <v>198</v>
      </c>
      <c r="I1" t="s">
        <v>196</v>
      </c>
      <c r="J1" t="s">
        <v>197</v>
      </c>
      <c r="K1" t="s">
        <v>176</v>
      </c>
      <c r="L1" t="s">
        <v>177</v>
      </c>
      <c r="M1" t="s">
        <v>178</v>
      </c>
      <c r="N1" t="s">
        <v>179</v>
      </c>
      <c r="O1" t="s">
        <v>5</v>
      </c>
      <c r="Q1" t="s">
        <v>180</v>
      </c>
    </row>
    <row r="2" spans="1:17" x14ac:dyDescent="0.45">
      <c r="A2">
        <v>1988</v>
      </c>
      <c r="B2" s="2">
        <v>125.14671300000001</v>
      </c>
      <c r="C2" s="2">
        <v>295.76600000000002</v>
      </c>
      <c r="D2" s="2">
        <f>100*(C2-B2)/B2</f>
        <v>136.33541218138106</v>
      </c>
      <c r="E2" s="2">
        <v>57.320971999999998</v>
      </c>
      <c r="F2" s="2">
        <v>116.1279</v>
      </c>
      <c r="G2" s="2">
        <f>100*(F2-E2)/E2</f>
        <v>102.59234264206127</v>
      </c>
      <c r="H2" s="2">
        <f>B2+E2</f>
        <v>182.46768500000002</v>
      </c>
      <c r="I2" s="2">
        <f>C2+F2</f>
        <v>411.89390000000003</v>
      </c>
      <c r="J2" s="2">
        <f>100*(I2-H2)/H2</f>
        <v>125.7352582732663</v>
      </c>
      <c r="K2" s="2">
        <v>156.555251</v>
      </c>
      <c r="L2" s="2">
        <v>205.18870000000001</v>
      </c>
      <c r="M2" s="2">
        <v>339.02293600000002</v>
      </c>
      <c r="N2" s="2">
        <v>617.08260000000007</v>
      </c>
      <c r="O2">
        <f>100*(N2-M2)/M2</f>
        <v>82.017950549516812</v>
      </c>
      <c r="Q2" t="s">
        <v>181</v>
      </c>
    </row>
    <row r="3" spans="1:17" x14ac:dyDescent="0.45">
      <c r="A3">
        <v>1989</v>
      </c>
      <c r="B3" s="2">
        <v>135.10359400000002</v>
      </c>
      <c r="C3" s="2"/>
      <c r="D3" s="2"/>
      <c r="E3" s="2">
        <v>65.612697999999995</v>
      </c>
      <c r="F3" s="2"/>
      <c r="G3" s="2"/>
      <c r="H3" s="2">
        <f t="shared" ref="H3:H29" si="0">B3+E3</f>
        <v>200.71629200000001</v>
      </c>
      <c r="I3" s="2"/>
      <c r="J3" s="2"/>
      <c r="K3" s="2">
        <v>148.31445299999999</v>
      </c>
      <c r="L3" s="2"/>
      <c r="M3" s="2">
        <v>349.03074500000002</v>
      </c>
      <c r="N3" s="2"/>
    </row>
    <row r="4" spans="1:17" x14ac:dyDescent="0.45">
      <c r="A4">
        <v>1990</v>
      </c>
      <c r="B4" s="2">
        <v>140.996431</v>
      </c>
      <c r="C4" s="2"/>
      <c r="D4" s="2"/>
      <c r="E4" s="2">
        <v>72.676111000000006</v>
      </c>
      <c r="F4" s="2"/>
      <c r="G4" s="2"/>
      <c r="H4" s="2">
        <f t="shared" si="0"/>
        <v>213.67254200000002</v>
      </c>
      <c r="I4" s="2"/>
      <c r="J4" s="2"/>
      <c r="K4" s="2">
        <v>116.774489</v>
      </c>
      <c r="L4" s="2"/>
      <c r="M4" s="2">
        <v>330.44703100000004</v>
      </c>
      <c r="N4" s="2"/>
    </row>
    <row r="5" spans="1:17" x14ac:dyDescent="0.45">
      <c r="A5">
        <v>1991</v>
      </c>
      <c r="B5" s="2">
        <v>139.01100700000001</v>
      </c>
      <c r="C5" s="2">
        <v>455.51119999999997</v>
      </c>
      <c r="D5" s="2">
        <f>100*(C5-B5)/B5</f>
        <v>227.67995127177227</v>
      </c>
      <c r="E5" s="2">
        <v>69.854524999999995</v>
      </c>
      <c r="F5" s="2">
        <v>129.64481000000001</v>
      </c>
      <c r="G5" s="2">
        <f>100*(F5-E5)/E5</f>
        <v>85.592572564196828</v>
      </c>
      <c r="H5" s="2">
        <f t="shared" si="0"/>
        <v>208.865532</v>
      </c>
      <c r="I5" s="2">
        <f>C5+F5</f>
        <v>585.15600999999992</v>
      </c>
      <c r="J5" s="2">
        <f>100*(I5-H5)/H5</f>
        <v>180.15920309914986</v>
      </c>
      <c r="K5" s="2">
        <v>101.791096</v>
      </c>
      <c r="L5" s="2">
        <v>82.263670000000005</v>
      </c>
      <c r="M5" s="2">
        <v>310.65662800000001</v>
      </c>
      <c r="N5" s="2">
        <v>667.41967999999997</v>
      </c>
      <c r="O5">
        <f>100*(N5-M5)/M5</f>
        <v>114.84160318639651</v>
      </c>
    </row>
    <row r="6" spans="1:17" x14ac:dyDescent="0.45">
      <c r="A6">
        <v>1992</v>
      </c>
      <c r="B6" s="2">
        <v>151.46614699999998</v>
      </c>
      <c r="C6" s="2"/>
      <c r="D6" s="2"/>
      <c r="E6" s="2">
        <v>98.845568</v>
      </c>
      <c r="F6" s="2"/>
      <c r="G6" s="2"/>
      <c r="H6" s="2">
        <f t="shared" si="0"/>
        <v>250.31171499999999</v>
      </c>
      <c r="I6" s="2"/>
      <c r="J6" s="2"/>
      <c r="K6" s="2">
        <v>117.411198</v>
      </c>
      <c r="L6" s="2"/>
      <c r="M6" s="2">
        <v>367.72291300000001</v>
      </c>
      <c r="N6" s="2"/>
    </row>
    <row r="7" spans="1:17" x14ac:dyDescent="0.45">
      <c r="A7">
        <v>1993</v>
      </c>
      <c r="B7" s="2">
        <v>152.03823299999999</v>
      </c>
      <c r="C7" s="2"/>
      <c r="D7" s="2"/>
      <c r="E7" s="2">
        <v>107.391114</v>
      </c>
      <c r="F7" s="2"/>
      <c r="G7" s="2"/>
      <c r="H7" s="2">
        <f t="shared" si="0"/>
        <v>259.42934700000001</v>
      </c>
      <c r="I7" s="2"/>
      <c r="J7" s="2"/>
      <c r="K7" s="2">
        <v>142.941755</v>
      </c>
      <c r="L7" s="2"/>
      <c r="M7" s="2">
        <v>402.37110200000001</v>
      </c>
      <c r="N7" s="2"/>
    </row>
    <row r="8" spans="1:17" x14ac:dyDescent="0.45">
      <c r="A8">
        <v>1994</v>
      </c>
      <c r="B8" s="2">
        <v>158.82548800000001</v>
      </c>
      <c r="C8" s="2">
        <v>407.27872400000001</v>
      </c>
      <c r="D8" s="2">
        <f>100*(C8-B8)/B8</f>
        <v>156.43158987177171</v>
      </c>
      <c r="E8" s="2">
        <v>132.94753499999999</v>
      </c>
      <c r="F8" s="2">
        <v>121.78115</v>
      </c>
      <c r="G8" s="2">
        <f>100*(F8-E8)/E8</f>
        <v>-8.3990914160236159</v>
      </c>
      <c r="H8" s="2">
        <f t="shared" si="0"/>
        <v>291.77302299999997</v>
      </c>
      <c r="I8" s="2">
        <f>C8+F8</f>
        <v>529.05987400000004</v>
      </c>
      <c r="J8" s="2">
        <f>100*(I8-H8)/H8</f>
        <v>81.325836281992423</v>
      </c>
      <c r="K8" s="2">
        <v>141.843256</v>
      </c>
      <c r="L8" s="2">
        <v>118.0579</v>
      </c>
      <c r="M8" s="2">
        <v>433.61627899999996</v>
      </c>
      <c r="N8" s="2">
        <v>647.11777400000005</v>
      </c>
      <c r="O8">
        <f>100*(N8-M8)/M8</f>
        <v>49.237426116098405</v>
      </c>
    </row>
    <row r="9" spans="1:17" x14ac:dyDescent="0.45">
      <c r="A9">
        <v>1995</v>
      </c>
      <c r="B9" s="2">
        <v>161.493686</v>
      </c>
      <c r="C9" s="2"/>
      <c r="D9" s="2"/>
      <c r="E9" s="2">
        <v>145.690855</v>
      </c>
      <c r="F9" s="2"/>
      <c r="G9" s="2"/>
      <c r="H9" s="2">
        <f t="shared" si="0"/>
        <v>307.18454099999997</v>
      </c>
      <c r="I9" s="2"/>
      <c r="J9" s="2"/>
      <c r="K9" s="2">
        <v>171.062288</v>
      </c>
      <c r="L9" s="2"/>
      <c r="M9" s="2">
        <v>478.24682899999993</v>
      </c>
      <c r="N9" s="2"/>
    </row>
    <row r="10" spans="1:17" x14ac:dyDescent="0.45">
      <c r="A10">
        <v>1996</v>
      </c>
      <c r="B10" s="2">
        <v>169.79197099999999</v>
      </c>
      <c r="C10" s="2"/>
      <c r="D10" s="2"/>
      <c r="E10" s="2">
        <v>171.57749699999999</v>
      </c>
      <c r="F10" s="2"/>
      <c r="G10" s="2"/>
      <c r="H10" s="2">
        <f t="shared" si="0"/>
        <v>341.36946799999998</v>
      </c>
      <c r="I10" s="2"/>
      <c r="J10" s="2"/>
      <c r="K10" s="2">
        <v>249.53244000000001</v>
      </c>
      <c r="L10" s="2"/>
      <c r="M10" s="2">
        <v>590.90190800000005</v>
      </c>
      <c r="N10" s="2"/>
    </row>
    <row r="11" spans="1:17" x14ac:dyDescent="0.45">
      <c r="A11">
        <v>1997</v>
      </c>
      <c r="B11" s="2">
        <v>179.89377300000001</v>
      </c>
      <c r="C11" s="2">
        <v>571.08000000000004</v>
      </c>
      <c r="D11" s="2">
        <f>100*(C11-B11)/B11</f>
        <v>217.45401215193812</v>
      </c>
      <c r="E11" s="2">
        <v>195.27004299999999</v>
      </c>
      <c r="F11" s="2">
        <v>147.01769999999999</v>
      </c>
      <c r="G11" s="2">
        <f>100*(F11-E11)/E11</f>
        <v>-24.7105711960129</v>
      </c>
      <c r="H11" s="2">
        <f t="shared" si="0"/>
        <v>375.163816</v>
      </c>
      <c r="I11" s="2">
        <f>C11+F11</f>
        <v>718.09770000000003</v>
      </c>
      <c r="J11" s="2">
        <f>100*(I11-H11)/H11</f>
        <v>91.409104336437409</v>
      </c>
      <c r="K11" s="2">
        <v>354.62286499999999</v>
      </c>
      <c r="L11" s="2">
        <v>256.05</v>
      </c>
      <c r="M11" s="2">
        <v>729.78668100000004</v>
      </c>
      <c r="N11" s="2">
        <v>974.14769999999999</v>
      </c>
      <c r="O11">
        <f>100*(N11-M11)/M11</f>
        <v>33.483896782709294</v>
      </c>
    </row>
    <row r="12" spans="1:17" x14ac:dyDescent="0.45">
      <c r="A12">
        <v>1998</v>
      </c>
      <c r="B12" s="2">
        <v>194.46633700000001</v>
      </c>
      <c r="C12" s="2"/>
      <c r="D12" s="2"/>
      <c r="E12" s="2">
        <v>215.63138699999999</v>
      </c>
      <c r="F12" s="2"/>
      <c r="G12" s="2"/>
      <c r="H12" s="2">
        <f t="shared" si="0"/>
        <v>410.09772399999997</v>
      </c>
      <c r="I12" s="2"/>
      <c r="J12" s="2"/>
      <c r="K12" s="2">
        <v>444.50814100000002</v>
      </c>
      <c r="L12" s="2"/>
      <c r="M12" s="2">
        <v>854.60586499999999</v>
      </c>
      <c r="N12" s="2"/>
    </row>
    <row r="13" spans="1:17" x14ac:dyDescent="0.45">
      <c r="A13">
        <v>1999</v>
      </c>
      <c r="B13" s="2">
        <v>202.17115099999998</v>
      </c>
      <c r="C13" s="2"/>
      <c r="D13" s="2"/>
      <c r="E13" s="2">
        <v>243.246996</v>
      </c>
      <c r="F13" s="2"/>
      <c r="G13" s="2"/>
      <c r="H13" s="2">
        <f t="shared" si="0"/>
        <v>445.41814699999998</v>
      </c>
      <c r="I13" s="2"/>
      <c r="J13" s="2"/>
      <c r="K13" s="2">
        <v>541.04582500000004</v>
      </c>
      <c r="L13" s="2"/>
      <c r="M13" s="2">
        <v>986.46397200000001</v>
      </c>
      <c r="N13" s="2"/>
    </row>
    <row r="14" spans="1:17" x14ac:dyDescent="0.45">
      <c r="A14">
        <v>2000</v>
      </c>
      <c r="B14" s="2">
        <v>239.440709</v>
      </c>
      <c r="C14" s="2">
        <v>649.74699999999996</v>
      </c>
      <c r="D14" s="2">
        <f>100*(C14-B14)/B14</f>
        <v>171.36028903088487</v>
      </c>
      <c r="E14" s="2">
        <v>249.02877899999999</v>
      </c>
      <c r="F14" s="2">
        <v>180.29659000000001</v>
      </c>
      <c r="G14" s="2">
        <f>100*(F14-E14)/E14</f>
        <v>-27.600098782157215</v>
      </c>
      <c r="H14" s="2">
        <f t="shared" si="0"/>
        <v>488.46948799999996</v>
      </c>
      <c r="I14" s="2">
        <f>C14+F14</f>
        <v>830.04358999999999</v>
      </c>
      <c r="J14" s="2">
        <f>100*(I14-H14)/H14</f>
        <v>69.92741827100572</v>
      </c>
      <c r="K14" s="2">
        <v>629.62329699999998</v>
      </c>
      <c r="L14" s="2">
        <v>491.73219999999998</v>
      </c>
      <c r="M14" s="2">
        <v>1118.0927849999998</v>
      </c>
      <c r="N14" s="2">
        <v>1321.7757899999999</v>
      </c>
      <c r="O14">
        <f>100*(N14-M14)/M14</f>
        <v>18.21700378828579</v>
      </c>
    </row>
    <row r="15" spans="1:17" x14ac:dyDescent="0.45">
      <c r="A15">
        <v>2001</v>
      </c>
      <c r="B15" s="2">
        <v>205.76771699999998</v>
      </c>
      <c r="C15" s="2"/>
      <c r="D15" s="2"/>
      <c r="E15" s="2">
        <v>265.00726600000002</v>
      </c>
      <c r="F15" s="2"/>
      <c r="G15" s="2"/>
      <c r="H15" s="2">
        <f t="shared" si="0"/>
        <v>470.77498300000002</v>
      </c>
      <c r="I15" s="2"/>
      <c r="J15" s="2"/>
      <c r="K15" s="2">
        <v>324.63045499999998</v>
      </c>
      <c r="L15" s="2"/>
      <c r="M15" s="2">
        <v>795.405438</v>
      </c>
      <c r="N15" s="2"/>
    </row>
    <row r="16" spans="1:17" x14ac:dyDescent="0.45">
      <c r="A16">
        <v>2002</v>
      </c>
      <c r="B16" s="2">
        <v>206.363854</v>
      </c>
      <c r="C16" s="2"/>
      <c r="D16" s="2"/>
      <c r="E16" s="2">
        <v>275.36493200000001</v>
      </c>
      <c r="F16" s="2"/>
      <c r="G16" s="2"/>
      <c r="H16" s="2">
        <f t="shared" si="0"/>
        <v>481.72878600000001</v>
      </c>
      <c r="I16" s="2"/>
      <c r="J16" s="2"/>
      <c r="K16" s="2">
        <v>236.40224000000001</v>
      </c>
      <c r="L16" s="2"/>
      <c r="M16" s="2">
        <v>718.13102600000002</v>
      </c>
      <c r="N16" s="2"/>
    </row>
    <row r="17" spans="1:15" x14ac:dyDescent="0.45">
      <c r="A17">
        <v>2003</v>
      </c>
      <c r="B17" s="2">
        <v>217.283793</v>
      </c>
      <c r="C17" s="2">
        <v>422.39400000000001</v>
      </c>
      <c r="D17" s="2">
        <f>100*(C17-B17)/B17</f>
        <v>94.397379651781023</v>
      </c>
      <c r="E17" s="2">
        <v>292.73423500000001</v>
      </c>
      <c r="F17" s="2">
        <v>427.05700000000002</v>
      </c>
      <c r="G17" s="2">
        <f>100*(F17-E17)/E17</f>
        <v>45.885567501184134</v>
      </c>
      <c r="H17" s="2">
        <f t="shared" si="0"/>
        <v>510.01802800000002</v>
      </c>
      <c r="I17" s="2">
        <f>C17+F17</f>
        <v>849.45100000000002</v>
      </c>
      <c r="J17" s="2">
        <f>100*(I17-H17)/H17</f>
        <v>66.553132117910152</v>
      </c>
      <c r="K17" s="2">
        <v>294.02364999999998</v>
      </c>
      <c r="L17" s="2">
        <v>242.04400000000001</v>
      </c>
      <c r="M17" s="2">
        <v>804.04167800000005</v>
      </c>
      <c r="N17" s="2">
        <v>1091.4950000000001</v>
      </c>
      <c r="O17">
        <f>100*(N17-M17)/M17</f>
        <v>35.751047472442103</v>
      </c>
    </row>
    <row r="18" spans="1:15" x14ac:dyDescent="0.45">
      <c r="A18">
        <v>2004</v>
      </c>
      <c r="B18" s="2">
        <v>233.978083</v>
      </c>
      <c r="C18" s="2"/>
      <c r="D18" s="2"/>
      <c r="E18" s="2">
        <v>354.327629</v>
      </c>
      <c r="F18" s="2"/>
      <c r="G18" s="2"/>
      <c r="H18" s="2">
        <f t="shared" si="0"/>
        <v>588.30571199999997</v>
      </c>
      <c r="I18" s="2"/>
      <c r="J18" s="2"/>
      <c r="K18" s="2">
        <v>476.16415499999999</v>
      </c>
      <c r="L18" s="2"/>
      <c r="M18" s="2">
        <v>1064.469867</v>
      </c>
      <c r="N18" s="2"/>
    </row>
    <row r="19" spans="1:15" x14ac:dyDescent="0.45">
      <c r="A19">
        <v>2005</v>
      </c>
      <c r="B19" s="2">
        <v>257.53226899999999</v>
      </c>
      <c r="C19" s="2"/>
      <c r="D19" s="2"/>
      <c r="E19" s="2">
        <v>444.01339000000002</v>
      </c>
      <c r="F19" s="2"/>
      <c r="G19" s="2"/>
      <c r="H19" s="2">
        <f t="shared" si="0"/>
        <v>701.545659</v>
      </c>
      <c r="I19" s="2"/>
      <c r="J19" s="2"/>
      <c r="K19" s="2">
        <v>671.67814999999996</v>
      </c>
      <c r="L19" s="2"/>
      <c r="M19" s="2">
        <v>1373.2238090000001</v>
      </c>
      <c r="N19" s="2"/>
    </row>
    <row r="20" spans="1:15" x14ac:dyDescent="0.45">
      <c r="A20">
        <v>2006</v>
      </c>
      <c r="B20" s="2">
        <v>266.195942</v>
      </c>
      <c r="C20" s="2">
        <v>503.38799999999998</v>
      </c>
      <c r="D20" s="2">
        <f>100*(C20-B20)/B20</f>
        <v>89.104310237757105</v>
      </c>
      <c r="E20" s="2">
        <v>463.05601899999999</v>
      </c>
      <c r="F20" s="2">
        <v>805.62</v>
      </c>
      <c r="G20" s="2">
        <f>100*(F20-E20)/E20</f>
        <v>73.978950050101815</v>
      </c>
      <c r="H20" s="2">
        <f t="shared" si="0"/>
        <v>729.25196099999994</v>
      </c>
      <c r="I20" s="2">
        <f>C20+F20</f>
        <v>1309.008</v>
      </c>
      <c r="J20" s="2">
        <f>100*(I20-H20)/H20</f>
        <v>79.500100103261857</v>
      </c>
      <c r="K20" s="2">
        <v>783.66400099999998</v>
      </c>
      <c r="L20" s="2">
        <v>622.53800000000001</v>
      </c>
      <c r="M20" s="2">
        <v>1512.915962</v>
      </c>
      <c r="N20" s="2">
        <v>1931.546</v>
      </c>
      <c r="O20">
        <f>100*(N20-M20)/M20</f>
        <v>27.670409230569014</v>
      </c>
    </row>
    <row r="21" spans="1:15" x14ac:dyDescent="0.45">
      <c r="A21">
        <v>2007</v>
      </c>
      <c r="B21" s="2">
        <v>265.043002</v>
      </c>
      <c r="C21" s="2"/>
      <c r="D21" s="2"/>
      <c r="E21" s="2">
        <v>449.914334</v>
      </c>
      <c r="F21" s="2"/>
      <c r="G21" s="2"/>
      <c r="H21" s="2">
        <f t="shared" si="0"/>
        <v>714.95733599999994</v>
      </c>
      <c r="I21" s="2"/>
      <c r="J21" s="2"/>
      <c r="K21" s="2">
        <v>912.01261</v>
      </c>
      <c r="L21" s="2"/>
      <c r="M21" s="2">
        <v>1626.9699459999999</v>
      </c>
      <c r="N21" s="2"/>
    </row>
    <row r="22" spans="1:15" x14ac:dyDescent="0.45">
      <c r="A22">
        <v>2008</v>
      </c>
      <c r="B22" s="2">
        <v>249.387674</v>
      </c>
      <c r="C22" s="2"/>
      <c r="D22" s="2"/>
      <c r="E22" s="2">
        <v>413.50619999999998</v>
      </c>
      <c r="F22" s="2"/>
      <c r="G22" s="2"/>
      <c r="H22" s="2">
        <f t="shared" si="0"/>
        <v>662.89387399999998</v>
      </c>
      <c r="I22" s="2"/>
      <c r="J22" s="2"/>
      <c r="K22" s="2">
        <v>461.46127999999999</v>
      </c>
      <c r="L22" s="2"/>
      <c r="M22" s="2">
        <v>1124.3551539999999</v>
      </c>
      <c r="N22" s="2"/>
    </row>
    <row r="23" spans="1:15" x14ac:dyDescent="0.45">
      <c r="A23">
        <v>2009</v>
      </c>
      <c r="B23" s="2">
        <v>230.88756999999998</v>
      </c>
      <c r="C23" s="2">
        <v>450.50099999999998</v>
      </c>
      <c r="D23" s="2">
        <f>100*(C23-B23)/B23</f>
        <v>95.117043329790349</v>
      </c>
      <c r="E23" s="2">
        <v>380.83649000000003</v>
      </c>
      <c r="F23" s="2">
        <v>720.72699999999998</v>
      </c>
      <c r="G23" s="2">
        <f>100*(F23-E23)/E23</f>
        <v>89.248409468325875</v>
      </c>
      <c r="H23" s="2">
        <f t="shared" si="0"/>
        <v>611.72406000000001</v>
      </c>
      <c r="I23" s="2">
        <f>C23+F23</f>
        <v>1171.2280000000001</v>
      </c>
      <c r="J23" s="2">
        <f>100*(I23-H23)/H23</f>
        <v>91.463451674599824</v>
      </c>
      <c r="K23" s="2">
        <v>213.52046300000001</v>
      </c>
      <c r="L23" s="2">
        <v>113.279</v>
      </c>
      <c r="M23" s="2">
        <v>825.24452300000007</v>
      </c>
      <c r="N23" s="2">
        <v>1284.5070000000001</v>
      </c>
      <c r="O23">
        <f>100*(N23-M23)/M23</f>
        <v>55.651684343259795</v>
      </c>
    </row>
    <row r="24" spans="1:15" x14ac:dyDescent="0.45">
      <c r="A24">
        <v>2010</v>
      </c>
      <c r="B24" s="2">
        <v>255.53330699999998</v>
      </c>
      <c r="C24" s="2"/>
      <c r="D24" s="2"/>
      <c r="E24" s="2">
        <v>445.73448500000001</v>
      </c>
      <c r="F24" s="2"/>
      <c r="G24" s="2"/>
      <c r="H24" s="2">
        <f t="shared" si="0"/>
        <v>701.26779199999999</v>
      </c>
      <c r="I24" s="2"/>
      <c r="J24" s="2"/>
      <c r="K24" s="2">
        <v>346.33391799999998</v>
      </c>
      <c r="L24" s="2"/>
      <c r="M24" s="2">
        <v>1047.6017099999999</v>
      </c>
      <c r="N24" s="2"/>
    </row>
    <row r="25" spans="1:15" x14ac:dyDescent="0.45">
      <c r="A25">
        <v>2011</v>
      </c>
      <c r="B25" s="2">
        <v>273.367593</v>
      </c>
      <c r="C25" s="2"/>
      <c r="D25" s="2"/>
      <c r="E25" s="2">
        <v>486.01595500000002</v>
      </c>
      <c r="F25" s="2"/>
      <c r="G25" s="2"/>
      <c r="H25" s="2">
        <f t="shared" si="0"/>
        <v>759.38354800000002</v>
      </c>
      <c r="I25" s="2"/>
      <c r="J25" s="2"/>
      <c r="K25" s="2">
        <v>362.58670000000001</v>
      </c>
      <c r="L25" s="2"/>
      <c r="M25" s="2">
        <v>1121.9702480000001</v>
      </c>
      <c r="N25" s="2"/>
    </row>
    <row r="26" spans="1:15" x14ac:dyDescent="0.45">
      <c r="A26">
        <v>2012</v>
      </c>
      <c r="B26" s="2">
        <v>298.659852</v>
      </c>
      <c r="C26" s="2">
        <v>394.96600000000001</v>
      </c>
      <c r="D26" s="2">
        <f>100*(C26-B26)/B26</f>
        <v>32.246097811633554</v>
      </c>
      <c r="E26" s="2">
        <v>613.25834699999996</v>
      </c>
      <c r="F26" s="2">
        <v>949.25900000000001</v>
      </c>
      <c r="G26" s="2">
        <f>100*(F26-E26)/E26</f>
        <v>54.789413734632795</v>
      </c>
      <c r="H26" s="2">
        <f t="shared" si="0"/>
        <v>911.91819899999996</v>
      </c>
      <c r="I26" s="2">
        <f>C26+F26</f>
        <v>1344.2249999999999</v>
      </c>
      <c r="J26" s="2">
        <f>100*(I26-H26)/H26</f>
        <v>47.406313578790638</v>
      </c>
      <c r="K26" s="2">
        <v>613.528862</v>
      </c>
      <c r="L26" s="2">
        <v>478.28500000000003</v>
      </c>
      <c r="M26" s="2">
        <v>1525.4470609999998</v>
      </c>
      <c r="N26" s="2">
        <v>1822.51</v>
      </c>
      <c r="O26">
        <f>100*(N26-M26)/M26</f>
        <v>19.473828138307329</v>
      </c>
    </row>
    <row r="27" spans="1:15" x14ac:dyDescent="0.45">
      <c r="A27">
        <v>2013</v>
      </c>
      <c r="B27" s="2">
        <v>294.27427399999999</v>
      </c>
      <c r="C27" s="2"/>
      <c r="D27" s="2"/>
      <c r="E27" s="2">
        <v>613.54146600000001</v>
      </c>
      <c r="F27" s="2"/>
      <c r="G27" s="2"/>
      <c r="H27" s="2">
        <f t="shared" si="0"/>
        <v>907.81574000000001</v>
      </c>
      <c r="I27" s="2"/>
      <c r="J27" s="2"/>
      <c r="K27" s="2">
        <v>490.65004699999997</v>
      </c>
      <c r="L27" s="2"/>
      <c r="M27" s="2">
        <v>1398.4657870000001</v>
      </c>
      <c r="N27" s="2"/>
    </row>
    <row r="28" spans="1:15" x14ac:dyDescent="0.45">
      <c r="A28">
        <v>2014</v>
      </c>
      <c r="B28" s="2">
        <v>308.98254700000001</v>
      </c>
      <c r="C28" s="2"/>
      <c r="D28" s="2"/>
      <c r="E28" s="2">
        <v>679.383869</v>
      </c>
      <c r="F28" s="2"/>
      <c r="G28" s="2"/>
      <c r="H28" s="2">
        <f t="shared" si="0"/>
        <v>988.36641600000007</v>
      </c>
      <c r="I28" s="2"/>
      <c r="J28" s="2"/>
      <c r="K28" s="2">
        <v>707.62117599999999</v>
      </c>
      <c r="L28" s="2"/>
      <c r="M28" s="2">
        <v>1695.9875919999999</v>
      </c>
      <c r="N28" s="2"/>
    </row>
    <row r="29" spans="1:15" x14ac:dyDescent="0.45">
      <c r="A29">
        <v>2015</v>
      </c>
      <c r="B29" s="2">
        <v>317.85051700000002</v>
      </c>
      <c r="C29" s="2">
        <v>572.53200000000004</v>
      </c>
      <c r="D29" s="2">
        <f>100*(C29-B29)/B29</f>
        <v>80.126181767387209</v>
      </c>
      <c r="E29" s="2">
        <v>713.23770100000002</v>
      </c>
      <c r="F29" s="2">
        <v>1142.1030000000001</v>
      </c>
      <c r="G29" s="2">
        <f>100*(F29-E29)/E29</f>
        <v>60.129364782414953</v>
      </c>
      <c r="H29" s="2">
        <f t="shared" si="0"/>
        <v>1031.0882180000001</v>
      </c>
      <c r="I29" s="2">
        <f>C29+F29</f>
        <v>1714.6350000000002</v>
      </c>
      <c r="J29" s="2">
        <f>100*(I29-H29)/H29</f>
        <v>66.293724442499652</v>
      </c>
      <c r="K29" s="2">
        <v>718.45803100000001</v>
      </c>
      <c r="L29" s="2">
        <v>677.70489999999995</v>
      </c>
      <c r="M29" s="2">
        <v>1749.546249</v>
      </c>
      <c r="N29" s="2">
        <v>2392.3398999999999</v>
      </c>
      <c r="O29">
        <f>100*(N29-M29)/M29</f>
        <v>36.740592103089924</v>
      </c>
    </row>
    <row r="31" spans="1:15" x14ac:dyDescent="0.45">
      <c r="O31">
        <f>AVERAGE(O2:O29)</f>
        <v>47.308544171067496</v>
      </c>
    </row>
    <row r="32" spans="1:15" x14ac:dyDescent="0.45">
      <c r="O32">
        <f>MIN(O2:O29)</f>
        <v>18.21700378828579</v>
      </c>
    </row>
    <row r="33" spans="15:15" x14ac:dyDescent="0.45">
      <c r="O33">
        <f>MAX(O2:O29)</f>
        <v>114.84160318639651</v>
      </c>
    </row>
  </sheetData>
  <pageMargins left="0.7" right="0.7" top="0.75" bottom="0.75" header="0.3" footer="0.3"/>
  <pageSetup orientation="portrait" horizontalDpi="4294967295" verticalDpi="4294967295"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D6"/>
  <sheetViews>
    <sheetView workbookViewId="0">
      <selection activeCell="M14" sqref="A10:M14"/>
    </sheetView>
  </sheetViews>
  <sheetFormatPr defaultRowHeight="14.25" x14ac:dyDescent="0.45"/>
  <cols>
    <col min="1" max="1" width="11.86328125" bestFit="1" customWidth="1"/>
    <col min="2" max="2" width="18.3984375" bestFit="1" customWidth="1"/>
    <col min="3" max="3" width="11.1328125" bestFit="1" customWidth="1"/>
    <col min="4" max="4" width="15" bestFit="1" customWidth="1"/>
  </cols>
  <sheetData>
    <row r="1" spans="1:4" x14ac:dyDescent="0.45">
      <c r="B1" t="s">
        <v>186</v>
      </c>
      <c r="C1" t="s">
        <v>134</v>
      </c>
      <c r="D1" t="s">
        <v>187</v>
      </c>
    </row>
    <row r="2" spans="1:4" x14ac:dyDescent="0.45">
      <c r="A2" t="s">
        <v>185</v>
      </c>
      <c r="B2">
        <v>14.93</v>
      </c>
      <c r="C2">
        <v>18.89</v>
      </c>
      <c r="D2">
        <v>15.31</v>
      </c>
    </row>
    <row r="3" spans="1:4" x14ac:dyDescent="0.45">
      <c r="A3" t="s">
        <v>49</v>
      </c>
      <c r="B3">
        <v>0.51</v>
      </c>
      <c r="C3">
        <v>0</v>
      </c>
      <c r="D3">
        <v>0.3</v>
      </c>
    </row>
    <row r="4" spans="1:4" x14ac:dyDescent="0.45">
      <c r="A4" t="s">
        <v>128</v>
      </c>
      <c r="B4">
        <v>29.2</v>
      </c>
      <c r="C4">
        <v>11.81</v>
      </c>
      <c r="D4">
        <v>26.66</v>
      </c>
    </row>
    <row r="5" spans="1:4" x14ac:dyDescent="0.45">
      <c r="A5" t="s">
        <v>129</v>
      </c>
      <c r="B5">
        <v>188</v>
      </c>
      <c r="C5">
        <v>190.67</v>
      </c>
      <c r="D5">
        <v>197.78</v>
      </c>
    </row>
    <row r="6" spans="1:4" x14ac:dyDescent="0.45">
      <c r="A6" t="s">
        <v>130</v>
      </c>
      <c r="B6">
        <v>1050</v>
      </c>
      <c r="C6">
        <v>1200</v>
      </c>
      <c r="D6">
        <v>1160</v>
      </c>
    </row>
  </sheetData>
  <pageMargins left="0.7" right="0.7" top="0.75" bottom="0.75" header="0.3" footer="0.3"/>
  <pageSetup orientation="portrait" horizontalDpi="4294967295" verticalDpi="4294967295"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J11"/>
  <sheetViews>
    <sheetView workbookViewId="0">
      <selection activeCell="B11" sqref="B11:H11"/>
    </sheetView>
  </sheetViews>
  <sheetFormatPr defaultRowHeight="14.25" x14ac:dyDescent="0.45"/>
  <cols>
    <col min="2" max="2" width="9.59765625" bestFit="1" customWidth="1"/>
    <col min="3" max="3" width="10.59765625" bestFit="1" customWidth="1"/>
    <col min="4" max="5" width="9.59765625" bestFit="1" customWidth="1"/>
    <col min="6" max="7" width="10.59765625" bestFit="1" customWidth="1"/>
    <col min="8" max="8" width="12.59765625" bestFit="1" customWidth="1"/>
  </cols>
  <sheetData>
    <row r="1" spans="1:10" x14ac:dyDescent="0.45">
      <c r="A1" t="s">
        <v>2</v>
      </c>
      <c r="B1" t="s">
        <v>125</v>
      </c>
      <c r="C1" t="s">
        <v>126</v>
      </c>
      <c r="D1" t="s">
        <v>49</v>
      </c>
      <c r="E1" t="s">
        <v>128</v>
      </c>
      <c r="F1" t="s">
        <v>129</v>
      </c>
      <c r="G1" t="s">
        <v>130</v>
      </c>
      <c r="H1" t="s">
        <v>56</v>
      </c>
      <c r="J1" t="s">
        <v>213</v>
      </c>
    </row>
    <row r="2" spans="1:10" x14ac:dyDescent="0.45">
      <c r="A2">
        <v>1998</v>
      </c>
      <c r="B2" s="2">
        <v>5.1961596999999999</v>
      </c>
      <c r="C2" s="2">
        <v>136.44023999999999</v>
      </c>
      <c r="D2" s="2">
        <v>0</v>
      </c>
      <c r="E2" s="2">
        <v>12.5</v>
      </c>
      <c r="F2" s="2">
        <v>75</v>
      </c>
      <c r="G2" s="2">
        <v>312</v>
      </c>
      <c r="H2" s="2">
        <v>2020</v>
      </c>
    </row>
    <row r="3" spans="1:10" x14ac:dyDescent="0.45">
      <c r="A3">
        <v>2000</v>
      </c>
      <c r="B3" s="2">
        <v>21.748263999999999</v>
      </c>
      <c r="C3" s="2">
        <v>182.43939</v>
      </c>
      <c r="D3" s="2">
        <v>0</v>
      </c>
      <c r="E3" s="2">
        <v>7.5</v>
      </c>
      <c r="F3" s="2">
        <v>73.33</v>
      </c>
      <c r="G3" s="2">
        <v>304</v>
      </c>
      <c r="H3" s="2">
        <v>3000</v>
      </c>
    </row>
    <row r="4" spans="1:10" x14ac:dyDescent="0.45">
      <c r="A4">
        <v>2002</v>
      </c>
      <c r="B4" s="2">
        <v>21.785159</v>
      </c>
      <c r="C4" s="2">
        <v>187.03479999999999</v>
      </c>
      <c r="D4" s="2">
        <v>0</v>
      </c>
      <c r="E4" s="2">
        <v>33.33</v>
      </c>
      <c r="F4" s="2">
        <v>139.47999999999999</v>
      </c>
      <c r="G4" s="2">
        <v>415.48</v>
      </c>
      <c r="H4" s="2">
        <v>2400</v>
      </c>
    </row>
    <row r="5" spans="1:10" x14ac:dyDescent="0.45">
      <c r="A5">
        <v>2004</v>
      </c>
      <c r="B5" s="2">
        <v>22.248173999999999</v>
      </c>
      <c r="C5" s="2">
        <v>287.73505</v>
      </c>
      <c r="D5" s="2">
        <v>3.8888888000000001</v>
      </c>
      <c r="E5" s="2">
        <v>36.923076999999999</v>
      </c>
      <c r="F5" s="2">
        <v>140</v>
      </c>
      <c r="G5" s="2">
        <v>576</v>
      </c>
      <c r="H5" s="2">
        <v>4375</v>
      </c>
    </row>
    <row r="6" spans="1:10" x14ac:dyDescent="0.45">
      <c r="A6">
        <v>2006</v>
      </c>
      <c r="B6" s="2">
        <v>20.567779000000002</v>
      </c>
      <c r="C6" s="2">
        <v>630.12190999999996</v>
      </c>
      <c r="D6" s="2">
        <v>10</v>
      </c>
      <c r="E6" s="2">
        <v>42.5</v>
      </c>
      <c r="F6" s="2">
        <v>222.22</v>
      </c>
      <c r="G6" s="2">
        <v>900</v>
      </c>
      <c r="H6" s="2">
        <v>10000</v>
      </c>
    </row>
    <row r="7" spans="1:10" x14ac:dyDescent="0.45">
      <c r="A7">
        <v>2008</v>
      </c>
      <c r="B7" s="2">
        <v>10.87485</v>
      </c>
      <c r="C7" s="2">
        <v>175.78298000000001</v>
      </c>
      <c r="D7" s="2">
        <v>2.67</v>
      </c>
      <c r="E7" s="2">
        <v>28.8</v>
      </c>
      <c r="F7" s="2">
        <v>125</v>
      </c>
      <c r="G7" s="2">
        <v>368.33</v>
      </c>
      <c r="H7" s="2">
        <v>2500</v>
      </c>
    </row>
    <row r="8" spans="1:10" x14ac:dyDescent="0.45">
      <c r="A8">
        <v>2010</v>
      </c>
      <c r="B8" s="2">
        <v>13.902466</v>
      </c>
      <c r="C8" s="2">
        <v>110.32595000000001</v>
      </c>
      <c r="D8" s="2">
        <v>3.9000001000000002</v>
      </c>
      <c r="E8" s="2">
        <v>25</v>
      </c>
      <c r="F8" s="2">
        <v>75.900000000000006</v>
      </c>
      <c r="G8" s="2">
        <v>400</v>
      </c>
      <c r="H8" s="2">
        <v>1128</v>
      </c>
    </row>
    <row r="9" spans="1:10" x14ac:dyDescent="0.45">
      <c r="A9">
        <v>2012</v>
      </c>
      <c r="B9" s="2">
        <v>10.714582999999999</v>
      </c>
      <c r="C9" s="2">
        <v>90.824048000000005</v>
      </c>
      <c r="D9" s="2">
        <v>3.33</v>
      </c>
      <c r="E9" s="2">
        <v>23</v>
      </c>
      <c r="F9" s="2">
        <v>83.33</v>
      </c>
      <c r="G9" s="2">
        <v>220.04</v>
      </c>
      <c r="H9" s="2">
        <v>1100</v>
      </c>
    </row>
    <row r="10" spans="1:10" x14ac:dyDescent="0.45">
      <c r="A10">
        <v>2014</v>
      </c>
      <c r="B10" s="2">
        <v>6.8642177000000002</v>
      </c>
      <c r="C10" s="2">
        <v>182.94806</v>
      </c>
      <c r="D10" s="2">
        <v>4.8</v>
      </c>
      <c r="E10" s="2">
        <v>33.33</v>
      </c>
      <c r="F10" s="2">
        <v>100</v>
      </c>
      <c r="G10" s="2">
        <v>266.67</v>
      </c>
      <c r="H10" s="2">
        <v>4700</v>
      </c>
    </row>
    <row r="11" spans="1:10" x14ac:dyDescent="0.45">
      <c r="A11" t="s">
        <v>258</v>
      </c>
      <c r="B11" s="2">
        <f>AVERAGE(B2:B10)</f>
        <v>14.877961377777776</v>
      </c>
      <c r="C11" s="2">
        <f t="shared" ref="C11:H11" si="0">AVERAGE(C2:C10)</f>
        <v>220.4058253333333</v>
      </c>
      <c r="D11" s="2">
        <f t="shared" si="0"/>
        <v>3.1765432111111109</v>
      </c>
      <c r="E11" s="2">
        <f t="shared" si="0"/>
        <v>26.987008555555558</v>
      </c>
      <c r="F11" s="2">
        <f t="shared" si="0"/>
        <v>114.91777777777777</v>
      </c>
      <c r="G11" s="2">
        <f t="shared" si="0"/>
        <v>418.0577777777778</v>
      </c>
      <c r="H11" s="2">
        <f t="shared" si="0"/>
        <v>3469.2222222222222</v>
      </c>
    </row>
  </sheetData>
  <pageMargins left="0.7" right="0.7" top="0.75" bottom="0.75" header="0.3" footer="0.3"/>
  <pageSetup orientation="portrait" horizontalDpi="4294967295" verticalDpi="4294967295"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G7"/>
  <sheetViews>
    <sheetView workbookViewId="0">
      <selection activeCell="O21" sqref="O21"/>
    </sheetView>
  </sheetViews>
  <sheetFormatPr defaultRowHeight="14.25" x14ac:dyDescent="0.45"/>
  <sheetData>
    <row r="1" spans="1:7" x14ac:dyDescent="0.45">
      <c r="A1" t="s">
        <v>2</v>
      </c>
      <c r="B1" t="s">
        <v>125</v>
      </c>
      <c r="C1" t="s">
        <v>126</v>
      </c>
      <c r="D1" t="s">
        <v>49</v>
      </c>
      <c r="E1" t="s">
        <v>128</v>
      </c>
      <c r="F1" t="s">
        <v>129</v>
      </c>
      <c r="G1" t="s">
        <v>130</v>
      </c>
    </row>
    <row r="2" spans="1:7" x14ac:dyDescent="0.45">
      <c r="A2">
        <v>2004</v>
      </c>
      <c r="B2">
        <v>21.9545446900778</v>
      </c>
      <c r="C2">
        <v>2936.20158981945</v>
      </c>
      <c r="D2">
        <v>6.3733333333333304</v>
      </c>
      <c r="E2">
        <v>45.714285714285701</v>
      </c>
      <c r="F2">
        <v>260</v>
      </c>
      <c r="G2">
        <v>1336.3636363636299</v>
      </c>
    </row>
    <row r="3" spans="1:7" x14ac:dyDescent="0.45">
      <c r="A3">
        <v>2005</v>
      </c>
      <c r="B3">
        <v>19.846707449057199</v>
      </c>
      <c r="C3" s="42">
        <v>12590.7133564385</v>
      </c>
      <c r="D3">
        <v>3.9655172413793101</v>
      </c>
      <c r="E3">
        <v>40.449438202247102</v>
      </c>
      <c r="F3">
        <v>250</v>
      </c>
      <c r="G3">
        <v>1178.57142857142</v>
      </c>
    </row>
    <row r="4" spans="1:7" x14ac:dyDescent="0.45">
      <c r="A4">
        <v>2009</v>
      </c>
      <c r="B4">
        <v>13.950168080587</v>
      </c>
      <c r="C4" s="42">
        <v>15353.0581345666</v>
      </c>
      <c r="D4">
        <v>0.06</v>
      </c>
      <c r="E4">
        <v>22.5</v>
      </c>
      <c r="F4">
        <v>202.5</v>
      </c>
      <c r="G4">
        <v>1120</v>
      </c>
    </row>
    <row r="5" spans="1:7" x14ac:dyDescent="0.45">
      <c r="A5">
        <v>2010</v>
      </c>
      <c r="B5">
        <v>17.184268603347999</v>
      </c>
      <c r="C5" s="42">
        <v>38737.513549158</v>
      </c>
      <c r="D5">
        <v>0.11785714285714199</v>
      </c>
      <c r="E5">
        <v>30.7588235294117</v>
      </c>
      <c r="F5">
        <v>240</v>
      </c>
      <c r="G5">
        <v>1462.5</v>
      </c>
    </row>
    <row r="6" spans="1:7" x14ac:dyDescent="0.45">
      <c r="A6">
        <v>2011</v>
      </c>
      <c r="B6">
        <v>15.307690986238001</v>
      </c>
      <c r="C6">
        <v>7971.4072276718398</v>
      </c>
      <c r="D6">
        <v>0.30270000000000002</v>
      </c>
      <c r="E6">
        <v>26.661777451830101</v>
      </c>
      <c r="F6">
        <v>197.77666666666599</v>
      </c>
      <c r="G6">
        <v>1160</v>
      </c>
    </row>
    <row r="7" spans="1:7" x14ac:dyDescent="0.45">
      <c r="A7" t="s">
        <v>258</v>
      </c>
      <c r="B7">
        <f>AVERAGE(B2:B6)</f>
        <v>17.648675961861599</v>
      </c>
      <c r="C7">
        <f t="shared" ref="C7:G7" si="0">AVERAGE(C2:C6)</f>
        <v>15517.778771530877</v>
      </c>
      <c r="D7">
        <f t="shared" si="0"/>
        <v>2.1638815435139565</v>
      </c>
      <c r="E7">
        <f t="shared" si="0"/>
        <v>33.21686497955492</v>
      </c>
      <c r="F7">
        <f t="shared" si="0"/>
        <v>230.05533333333318</v>
      </c>
      <c r="G7">
        <f t="shared" si="0"/>
        <v>1251.4870129870101</v>
      </c>
    </row>
  </sheetData>
  <pageMargins left="0.7" right="0.7" top="0.75" bottom="0.75" header="0.3" footer="0.3"/>
  <pageSetup orientation="portrait" horizontalDpi="4294967295" verticalDpi="4294967295"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H12"/>
  <sheetViews>
    <sheetView view="pageBreakPreview" zoomScale="115" zoomScaleNormal="100" zoomScaleSheetLayoutView="115" workbookViewId="0">
      <selection activeCell="I21" sqref="I21"/>
    </sheetView>
  </sheetViews>
  <sheetFormatPr defaultRowHeight="14.25" x14ac:dyDescent="0.45"/>
  <sheetData>
    <row r="1" spans="1:8" x14ac:dyDescent="0.45">
      <c r="B1" t="s">
        <v>125</v>
      </c>
      <c r="C1" t="s">
        <v>126</v>
      </c>
      <c r="D1" t="s">
        <v>127</v>
      </c>
      <c r="E1" t="s">
        <v>49</v>
      </c>
      <c r="F1" t="s">
        <v>128</v>
      </c>
      <c r="G1" t="s">
        <v>129</v>
      </c>
      <c r="H1" t="s">
        <v>130</v>
      </c>
    </row>
    <row r="2" spans="1:8" x14ac:dyDescent="0.45">
      <c r="A2">
        <v>1988</v>
      </c>
      <c r="B2">
        <v>17.269633849065698</v>
      </c>
      <c r="C2">
        <v>110.354239200086</v>
      </c>
      <c r="D2">
        <v>-7.69230769230769E-2</v>
      </c>
      <c r="E2">
        <v>1.25827814569536</v>
      </c>
      <c r="F2">
        <v>15.8333333333333</v>
      </c>
      <c r="G2">
        <v>71.421428571428507</v>
      </c>
      <c r="H2">
        <v>250</v>
      </c>
    </row>
    <row r="3" spans="1:8" x14ac:dyDescent="0.45">
      <c r="A3">
        <v>1991</v>
      </c>
      <c r="B3">
        <v>24.886172516653399</v>
      </c>
      <c r="C3">
        <v>60.0190769418721</v>
      </c>
      <c r="D3">
        <v>0</v>
      </c>
      <c r="E3">
        <v>0</v>
      </c>
      <c r="F3">
        <v>13.75</v>
      </c>
      <c r="G3">
        <v>50</v>
      </c>
      <c r="H3">
        <v>128.57142857142799</v>
      </c>
    </row>
    <row r="4" spans="1:8" x14ac:dyDescent="0.45">
      <c r="A4">
        <v>1994</v>
      </c>
      <c r="B4">
        <v>47.498494341841301</v>
      </c>
      <c r="C4">
        <v>87.206626426926803</v>
      </c>
      <c r="D4">
        <v>0</v>
      </c>
      <c r="E4">
        <v>1.2</v>
      </c>
      <c r="F4">
        <v>21.3333333333333</v>
      </c>
      <c r="G4">
        <v>68.181818181818102</v>
      </c>
      <c r="H4">
        <v>178.57142857142799</v>
      </c>
    </row>
    <row r="5" spans="1:8" x14ac:dyDescent="0.45">
      <c r="A5">
        <v>1997</v>
      </c>
      <c r="B5">
        <v>24.646507192396399</v>
      </c>
      <c r="C5">
        <v>147.52702425068901</v>
      </c>
      <c r="D5">
        <v>0</v>
      </c>
      <c r="E5">
        <v>1.4516129032258001</v>
      </c>
      <c r="F5">
        <v>26</v>
      </c>
      <c r="G5">
        <v>93.75</v>
      </c>
      <c r="H5">
        <v>241.935483870967</v>
      </c>
    </row>
    <row r="6" spans="1:8" x14ac:dyDescent="0.45">
      <c r="A6">
        <v>2000</v>
      </c>
      <c r="B6">
        <v>25.426801460746901</v>
      </c>
      <c r="C6">
        <v>107.23483523657001</v>
      </c>
      <c r="D6">
        <v>0</v>
      </c>
      <c r="E6">
        <v>0.84951456310679596</v>
      </c>
      <c r="F6">
        <v>23.8095238095238</v>
      </c>
      <c r="G6">
        <v>72</v>
      </c>
      <c r="H6">
        <v>151.25</v>
      </c>
    </row>
    <row r="7" spans="1:8" x14ac:dyDescent="0.45">
      <c r="A7">
        <v>2003</v>
      </c>
      <c r="B7">
        <v>21.298205553427</v>
      </c>
      <c r="C7">
        <v>75.604227966750699</v>
      </c>
      <c r="D7">
        <v>0</v>
      </c>
      <c r="E7">
        <v>0.48571428571428499</v>
      </c>
      <c r="F7">
        <v>18.399999999999999</v>
      </c>
      <c r="G7">
        <v>59.285714285714199</v>
      </c>
      <c r="H7">
        <v>140</v>
      </c>
    </row>
    <row r="8" spans="1:8" x14ac:dyDescent="0.45">
      <c r="A8">
        <v>2006</v>
      </c>
      <c r="B8">
        <v>19.988388122740499</v>
      </c>
      <c r="C8">
        <v>213.12646419345199</v>
      </c>
      <c r="D8">
        <v>0</v>
      </c>
      <c r="E8">
        <v>1.1666666666666601</v>
      </c>
      <c r="F8">
        <v>24</v>
      </c>
      <c r="G8">
        <v>80</v>
      </c>
      <c r="H8">
        <v>240</v>
      </c>
    </row>
    <row r="9" spans="1:8" x14ac:dyDescent="0.45">
      <c r="A9">
        <v>2009</v>
      </c>
      <c r="B9">
        <v>14.461348551735</v>
      </c>
      <c r="C9">
        <v>115.85530310764</v>
      </c>
      <c r="D9">
        <v>0</v>
      </c>
      <c r="E9">
        <v>0</v>
      </c>
      <c r="F9">
        <v>18</v>
      </c>
      <c r="G9">
        <v>79.1666666666666</v>
      </c>
      <c r="H9">
        <v>200</v>
      </c>
    </row>
    <row r="10" spans="1:8" x14ac:dyDescent="0.45">
      <c r="A10">
        <v>2012</v>
      </c>
      <c r="B10">
        <v>13.7009023246237</v>
      </c>
      <c r="C10">
        <v>67.574525879974402</v>
      </c>
      <c r="D10">
        <v>0</v>
      </c>
      <c r="E10">
        <v>0</v>
      </c>
      <c r="F10">
        <v>15</v>
      </c>
      <c r="G10">
        <v>60.846560846560799</v>
      </c>
      <c r="H10">
        <v>170</v>
      </c>
    </row>
    <row r="11" spans="1:8" x14ac:dyDescent="0.45">
      <c r="A11">
        <v>2015</v>
      </c>
      <c r="B11">
        <v>16.715242250578498</v>
      </c>
      <c r="C11">
        <v>91.233845723921903</v>
      </c>
      <c r="D11">
        <v>0</v>
      </c>
      <c r="E11">
        <v>1.3333333333333299</v>
      </c>
      <c r="F11">
        <v>20</v>
      </c>
      <c r="G11">
        <v>71.6666666666666</v>
      </c>
      <c r="H11">
        <v>173.333333333333</v>
      </c>
    </row>
    <row r="12" spans="1:8" x14ac:dyDescent="0.45">
      <c r="A12" t="s">
        <v>258</v>
      </c>
      <c r="B12">
        <f>AVERAGE(B2:B11)</f>
        <v>22.589169616380843</v>
      </c>
      <c r="C12">
        <f t="shared" ref="C12:H12" si="0">AVERAGE(C2:C11)</f>
        <v>107.57361689278829</v>
      </c>
      <c r="D12">
        <f>AVERAGE(D2:D11)</f>
        <v>-7.6923076923076901E-3</v>
      </c>
      <c r="E12">
        <f t="shared" si="0"/>
        <v>0.77451198977422298</v>
      </c>
      <c r="F12">
        <f t="shared" si="0"/>
        <v>19.612619047619042</v>
      </c>
      <c r="G12">
        <f t="shared" si="0"/>
        <v>70.631885521885494</v>
      </c>
      <c r="H12">
        <f t="shared" si="0"/>
        <v>187.36616743471558</v>
      </c>
    </row>
  </sheetData>
  <pageMargins left="0.7" right="0.7" top="0.75" bottom="0.75" header="0.3" footer="0.3"/>
  <pageSetup orientation="portrait" horizontalDpi="4294967295" verticalDpi="4294967295"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D32"/>
  <sheetViews>
    <sheetView topLeftCell="A19" workbookViewId="0">
      <selection activeCell="D29" sqref="D29"/>
    </sheetView>
  </sheetViews>
  <sheetFormatPr defaultRowHeight="14.25" x14ac:dyDescent="0.45"/>
  <sheetData>
    <row r="1" spans="1:4" x14ac:dyDescent="0.45">
      <c r="A1" t="s">
        <v>2</v>
      </c>
      <c r="B1" t="s">
        <v>259</v>
      </c>
      <c r="C1" t="s">
        <v>260</v>
      </c>
      <c r="D1" s="43" t="s">
        <v>257</v>
      </c>
    </row>
    <row r="2" spans="1:4" x14ac:dyDescent="0.45">
      <c r="A2">
        <v>1988</v>
      </c>
      <c r="B2">
        <v>617.08300096619996</v>
      </c>
      <c r="C2">
        <v>339.02293599999899</v>
      </c>
      <c r="D2">
        <f>(B2-C2)/C2</f>
        <v>0.82018068820630408</v>
      </c>
    </row>
    <row r="3" spans="1:4" x14ac:dyDescent="0.45">
      <c r="A3">
        <v>1989</v>
      </c>
      <c r="C3">
        <v>349.03074500000002</v>
      </c>
    </row>
    <row r="4" spans="1:4" x14ac:dyDescent="0.45">
      <c r="A4">
        <v>1990</v>
      </c>
      <c r="C4">
        <v>330.44703099999998</v>
      </c>
    </row>
    <row r="5" spans="1:4" x14ac:dyDescent="0.45">
      <c r="A5">
        <v>1991</v>
      </c>
      <c r="B5">
        <v>667.41964829379197</v>
      </c>
      <c r="C5">
        <v>310.65662799999899</v>
      </c>
      <c r="D5">
        <f>(B5-C5)/C5</f>
        <v>1.1484159298020646</v>
      </c>
    </row>
    <row r="6" spans="1:4" x14ac:dyDescent="0.45">
      <c r="A6">
        <v>1992</v>
      </c>
      <c r="C6">
        <v>367.72291300000001</v>
      </c>
    </row>
    <row r="7" spans="1:4" x14ac:dyDescent="0.45">
      <c r="A7">
        <v>1993</v>
      </c>
      <c r="C7">
        <v>402.37110200000001</v>
      </c>
    </row>
    <row r="8" spans="1:4" x14ac:dyDescent="0.45">
      <c r="A8">
        <v>1994</v>
      </c>
      <c r="B8">
        <v>647.11686896626202</v>
      </c>
      <c r="C8">
        <v>433.616278999999</v>
      </c>
      <c r="D8">
        <f>(B8-C8)/C8</f>
        <v>0.49237217398441702</v>
      </c>
    </row>
    <row r="9" spans="1:4" x14ac:dyDescent="0.45">
      <c r="A9">
        <v>1995</v>
      </c>
      <c r="C9">
        <v>478.24682899999999</v>
      </c>
    </row>
    <row r="10" spans="1:4" x14ac:dyDescent="0.45">
      <c r="A10">
        <v>1996</v>
      </c>
      <c r="C10">
        <v>590.90190800000005</v>
      </c>
    </row>
    <row r="11" spans="1:4" x14ac:dyDescent="0.45">
      <c r="A11">
        <v>1997</v>
      </c>
      <c r="B11">
        <v>974.14887886608904</v>
      </c>
      <c r="C11">
        <v>729.78668100000004</v>
      </c>
      <c r="D11">
        <f>(B11-C11)/C11</f>
        <v>0.33484058318418253</v>
      </c>
    </row>
    <row r="12" spans="1:4" x14ac:dyDescent="0.45">
      <c r="A12">
        <v>1998</v>
      </c>
      <c r="C12">
        <v>854.60586499999999</v>
      </c>
    </row>
    <row r="13" spans="1:4" x14ac:dyDescent="0.45">
      <c r="A13">
        <v>1999</v>
      </c>
      <c r="C13">
        <v>986.46397200000001</v>
      </c>
    </row>
    <row r="14" spans="1:4" x14ac:dyDescent="0.45">
      <c r="A14">
        <v>2000</v>
      </c>
      <c r="B14">
        <v>1321.7752314143299</v>
      </c>
      <c r="C14">
        <v>1118.09278499999</v>
      </c>
      <c r="D14">
        <f>(B14-C14)/C14</f>
        <v>0.18216953829492935</v>
      </c>
    </row>
    <row r="15" spans="1:4" x14ac:dyDescent="0.45">
      <c r="A15">
        <v>2001</v>
      </c>
      <c r="C15">
        <v>795.405438</v>
      </c>
    </row>
    <row r="16" spans="1:4" x14ac:dyDescent="0.45">
      <c r="A16">
        <v>2002</v>
      </c>
      <c r="C16">
        <v>718.13102600000002</v>
      </c>
    </row>
    <row r="17" spans="1:4" x14ac:dyDescent="0.45">
      <c r="A17">
        <v>2003</v>
      </c>
      <c r="B17">
        <v>1091.49479638804</v>
      </c>
      <c r="C17">
        <v>804.04167800000005</v>
      </c>
      <c r="D17">
        <f>(B17-C17)/C17</f>
        <v>0.35751022148884165</v>
      </c>
    </row>
    <row r="18" spans="1:4" x14ac:dyDescent="0.45">
      <c r="A18">
        <v>2004</v>
      </c>
      <c r="C18">
        <v>1064.469867</v>
      </c>
    </row>
    <row r="19" spans="1:4" x14ac:dyDescent="0.45">
      <c r="A19">
        <v>2005</v>
      </c>
      <c r="C19">
        <v>1373.2238090000001</v>
      </c>
    </row>
    <row r="20" spans="1:4" x14ac:dyDescent="0.45">
      <c r="A20">
        <v>2006</v>
      </c>
      <c r="B20">
        <v>1931.5436022957001</v>
      </c>
      <c r="C20">
        <v>1512.915962</v>
      </c>
      <c r="D20">
        <f>(B20-C20)/C20</f>
        <v>0.27670250748250091</v>
      </c>
    </row>
    <row r="21" spans="1:4" x14ac:dyDescent="0.45">
      <c r="A21">
        <v>2007</v>
      </c>
      <c r="C21">
        <v>1626.9699459999999</v>
      </c>
    </row>
    <row r="22" spans="1:4" x14ac:dyDescent="0.45">
      <c r="A22">
        <v>2008</v>
      </c>
      <c r="C22">
        <v>1124.3551540000001</v>
      </c>
    </row>
    <row r="23" spans="1:4" x14ac:dyDescent="0.45">
      <c r="A23">
        <v>2009</v>
      </c>
      <c r="B23">
        <v>1284.50316619827</v>
      </c>
      <c r="C23">
        <v>825.24452299999996</v>
      </c>
      <c r="D23">
        <f>(B23-C23)/C23</f>
        <v>0.55651219777713101</v>
      </c>
    </row>
    <row r="24" spans="1:4" x14ac:dyDescent="0.45">
      <c r="A24">
        <v>2010</v>
      </c>
      <c r="C24">
        <v>1047.6017099999999</v>
      </c>
    </row>
    <row r="25" spans="1:4" x14ac:dyDescent="0.45">
      <c r="A25">
        <v>2011</v>
      </c>
      <c r="C25">
        <v>1121.9702480000001</v>
      </c>
    </row>
    <row r="26" spans="1:4" x14ac:dyDescent="0.45">
      <c r="A26">
        <v>2012</v>
      </c>
      <c r="B26">
        <v>1822.5087155435201</v>
      </c>
      <c r="C26">
        <v>1525.4470609999901</v>
      </c>
      <c r="D26">
        <f>(B26-C26)/C26</f>
        <v>0.19473743936337884</v>
      </c>
    </row>
    <row r="27" spans="1:4" x14ac:dyDescent="0.45">
      <c r="A27">
        <v>2013</v>
      </c>
      <c r="C27">
        <v>1398.4657870000001</v>
      </c>
    </row>
    <row r="28" spans="1:4" x14ac:dyDescent="0.45">
      <c r="A28">
        <v>2014</v>
      </c>
      <c r="C28">
        <v>1695.9875919999999</v>
      </c>
    </row>
    <row r="29" spans="1:4" x14ac:dyDescent="0.45">
      <c r="A29">
        <v>2015</v>
      </c>
      <c r="B29">
        <v>2392.3382764976</v>
      </c>
      <c r="C29">
        <v>1749.546249</v>
      </c>
      <c r="D29">
        <f>(B29-C29)/C29</f>
        <v>0.36740499307463576</v>
      </c>
    </row>
    <row r="30" spans="1:4" x14ac:dyDescent="0.45">
      <c r="A30" s="52" t="s">
        <v>258</v>
      </c>
      <c r="B30" s="54">
        <f t="shared" ref="B30" si="0">AVERAGE(B1:B29)</f>
        <v>1274.9932185429802</v>
      </c>
      <c r="C30" s="54"/>
      <c r="D30" s="54">
        <f>AVERAGE(D1:D29)</f>
        <v>0.47308462726583855</v>
      </c>
    </row>
    <row r="31" spans="1:4" x14ac:dyDescent="0.45">
      <c r="A31" s="52" t="s">
        <v>261</v>
      </c>
      <c r="B31" s="54">
        <f t="shared" ref="B31" si="1">MIN(B1:B29)</f>
        <v>617.08300096619996</v>
      </c>
      <c r="C31" s="54"/>
      <c r="D31" s="54">
        <f>MIN(D1:D29)</f>
        <v>0.18216953829492935</v>
      </c>
    </row>
    <row r="32" spans="1:4" x14ac:dyDescent="0.45">
      <c r="A32" s="52" t="s">
        <v>262</v>
      </c>
      <c r="B32" s="54">
        <f t="shared" ref="B32" si="2">MAX(B1:B29)</f>
        <v>2392.3382764976</v>
      </c>
      <c r="C32" s="54"/>
      <c r="D32" s="54">
        <f>MAX(D1:D29)</f>
        <v>1.1484159298020646</v>
      </c>
    </row>
  </sheetData>
  <pageMargins left="0.7" right="0.7" top="0.75" bottom="0.75" header="0.3" footer="0.3"/>
  <pageSetup orientation="portrait" horizontalDpi="4294967295" verticalDpi="4294967295"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Y16392"/>
  <sheetViews>
    <sheetView topLeftCell="N13" zoomScale="85" zoomScaleNormal="85" workbookViewId="0">
      <selection activeCell="T1" sqref="T1"/>
    </sheetView>
  </sheetViews>
  <sheetFormatPr defaultRowHeight="14.25" x14ac:dyDescent="0.45"/>
  <cols>
    <col min="1" max="1" width="10.86328125" bestFit="1" customWidth="1"/>
    <col min="2" max="2" width="24.3984375" bestFit="1" customWidth="1"/>
    <col min="3" max="3" width="24.3984375" customWidth="1"/>
    <col min="4" max="4" width="36.59765625" customWidth="1"/>
    <col min="7" max="7" width="13.1328125" bestFit="1" customWidth="1"/>
    <col min="8" max="8" width="14.1328125" bestFit="1" customWidth="1"/>
    <col min="9" max="9" width="16.86328125" bestFit="1" customWidth="1"/>
    <col min="10" max="12" width="13.1328125" customWidth="1"/>
    <col min="13" max="13" width="26.86328125" bestFit="1" customWidth="1"/>
    <col min="14" max="14" width="27.1328125" bestFit="1" customWidth="1"/>
    <col min="15" max="16" width="27.1328125" customWidth="1"/>
    <col min="19" max="19" width="17.86328125" customWidth="1"/>
    <col min="20" max="20" width="17.86328125" bestFit="1" customWidth="1"/>
    <col min="21" max="21" width="19.86328125" bestFit="1" customWidth="1"/>
    <col min="22" max="23" width="18.1328125" bestFit="1" customWidth="1"/>
    <col min="24" max="27" width="17.86328125" customWidth="1"/>
  </cols>
  <sheetData>
    <row r="1" spans="1:25" x14ac:dyDescent="0.45">
      <c r="A1" t="s">
        <v>2</v>
      </c>
      <c r="B1" t="s">
        <v>223</v>
      </c>
      <c r="C1" t="s">
        <v>224</v>
      </c>
      <c r="D1" t="s">
        <v>225</v>
      </c>
      <c r="E1" t="s">
        <v>226</v>
      </c>
      <c r="G1" s="43" t="s">
        <v>227</v>
      </c>
      <c r="H1" s="43" t="s">
        <v>228</v>
      </c>
      <c r="I1" s="43" t="s">
        <v>5</v>
      </c>
      <c r="J1" s="43" t="s">
        <v>229</v>
      </c>
      <c r="K1" s="43" t="s">
        <v>230</v>
      </c>
      <c r="M1" s="43" t="s">
        <v>231</v>
      </c>
      <c r="N1" s="43" t="s">
        <v>232</v>
      </c>
      <c r="O1" s="43" t="s">
        <v>233</v>
      </c>
      <c r="P1" s="43" t="s">
        <v>234</v>
      </c>
      <c r="Q1" s="43"/>
      <c r="R1" s="43"/>
      <c r="S1" s="43" t="s">
        <v>235</v>
      </c>
      <c r="T1" s="43" t="s">
        <v>236</v>
      </c>
      <c r="U1" s="43" t="s">
        <v>257</v>
      </c>
      <c r="V1" s="43" t="s">
        <v>237</v>
      </c>
      <c r="W1" s="43" t="s">
        <v>238</v>
      </c>
      <c r="Y1" t="s">
        <v>239</v>
      </c>
    </row>
    <row r="2" spans="1:25" x14ac:dyDescent="0.45">
      <c r="A2">
        <v>1988</v>
      </c>
      <c r="B2">
        <v>125.14671300000001</v>
      </c>
      <c r="C2">
        <v>295.76600000000002</v>
      </c>
      <c r="D2" s="44">
        <v>57.320971999999998</v>
      </c>
      <c r="E2">
        <v>116.1279</v>
      </c>
      <c r="G2" s="45">
        <f>SUM(B2+D2)</f>
        <v>182.46768500000002</v>
      </c>
      <c r="H2">
        <f>C2+E2</f>
        <v>411.89390000000003</v>
      </c>
      <c r="I2">
        <f>(H2-G2)/G2</f>
        <v>1.257352582732663</v>
      </c>
      <c r="J2">
        <v>351.91362785000001</v>
      </c>
      <c r="K2">
        <v>551.74079716999995</v>
      </c>
      <c r="M2">
        <v>109.70828</v>
      </c>
      <c r="N2">
        <v>79.008204299800312</v>
      </c>
      <c r="O2">
        <v>77.834519999999998</v>
      </c>
      <c r="P2">
        <v>80.2970696</v>
      </c>
      <c r="S2">
        <v>1.6632079638838566</v>
      </c>
      <c r="T2">
        <v>5.2133054237892749</v>
      </c>
      <c r="U2">
        <f>(T2-S2)/S2</f>
        <v>2.1344880117188549</v>
      </c>
      <c r="V2">
        <v>4.4352769299999997</v>
      </c>
      <c r="W2">
        <v>6.9704661400000001</v>
      </c>
      <c r="Y2" t="s">
        <v>240</v>
      </c>
    </row>
    <row r="3" spans="1:25" x14ac:dyDescent="0.45">
      <c r="A3">
        <v>1989</v>
      </c>
      <c r="B3">
        <v>135.10359400000002</v>
      </c>
      <c r="D3" s="44">
        <v>65.612697999999995</v>
      </c>
      <c r="G3" s="45">
        <f t="shared" ref="G3:G29" si="0">SUM(B3+D3)</f>
        <v>200.71629200000001</v>
      </c>
      <c r="M3">
        <v>112.135673</v>
      </c>
      <c r="S3">
        <v>1.7899414756265832</v>
      </c>
      <c r="Y3" t="s">
        <v>241</v>
      </c>
    </row>
    <row r="4" spans="1:25" x14ac:dyDescent="0.45">
      <c r="A4">
        <v>1990</v>
      </c>
      <c r="B4">
        <v>140.996431</v>
      </c>
      <c r="D4" s="44">
        <v>72.676111000000006</v>
      </c>
      <c r="G4" s="45">
        <f t="shared" si="0"/>
        <v>213.67254200000002</v>
      </c>
      <c r="M4">
        <v>113.71713800000001</v>
      </c>
      <c r="S4">
        <v>1.8789827615957062</v>
      </c>
    </row>
    <row r="5" spans="1:25" x14ac:dyDescent="0.45">
      <c r="A5">
        <v>1991</v>
      </c>
      <c r="B5">
        <v>139.01100700000001</v>
      </c>
      <c r="C5">
        <v>455.51119999999997</v>
      </c>
      <c r="D5" s="44">
        <v>69.854524999999995</v>
      </c>
      <c r="E5">
        <v>129.64481000000001</v>
      </c>
      <c r="G5" s="45">
        <f t="shared" si="0"/>
        <v>208.865532</v>
      </c>
      <c r="H5">
        <f t="shared" ref="H5:H29" si="1">C5+E5</f>
        <v>585.15600999999992</v>
      </c>
      <c r="I5">
        <f t="shared" ref="I5:I29" si="2">(H5-G5)/G5</f>
        <v>1.8015920309914988</v>
      </c>
      <c r="J5">
        <v>465.36842526999999</v>
      </c>
      <c r="K5">
        <v>734.42873097999995</v>
      </c>
      <c r="M5">
        <v>114.73012300000001</v>
      </c>
      <c r="N5">
        <v>87.867953975461205</v>
      </c>
      <c r="O5">
        <v>86.712819199999998</v>
      </c>
      <c r="P5">
        <v>88.959508799999995</v>
      </c>
      <c r="S5">
        <v>1.8204942742020769</v>
      </c>
      <c r="T5">
        <v>6.6594928358456578</v>
      </c>
      <c r="U5">
        <f t="shared" ref="U5:U29" si="3">(T5-S5)/S5</f>
        <v>2.6580685422724084</v>
      </c>
      <c r="V5">
        <v>5.3019785600000002</v>
      </c>
      <c r="W5">
        <v>8.3218325899999996</v>
      </c>
    </row>
    <row r="6" spans="1:25" x14ac:dyDescent="0.45">
      <c r="A6">
        <v>1992</v>
      </c>
      <c r="B6">
        <v>151.46614699999998</v>
      </c>
      <c r="D6" s="44">
        <v>98.845568</v>
      </c>
      <c r="G6" s="45">
        <f t="shared" si="0"/>
        <v>250.31171499999999</v>
      </c>
      <c r="M6">
        <v>113.60450299999999</v>
      </c>
      <c r="S6">
        <v>2.2033608562153564</v>
      </c>
    </row>
    <row r="7" spans="1:25" x14ac:dyDescent="0.45">
      <c r="A7">
        <v>1993</v>
      </c>
      <c r="B7">
        <v>152.03823299999999</v>
      </c>
      <c r="D7" s="44">
        <v>107.391114</v>
      </c>
      <c r="G7" s="45">
        <f t="shared" si="0"/>
        <v>259.42934700000001</v>
      </c>
      <c r="M7">
        <v>114.60181900000001</v>
      </c>
      <c r="S7">
        <v>2.2637454559076415</v>
      </c>
    </row>
    <row r="8" spans="1:25" x14ac:dyDescent="0.45">
      <c r="A8">
        <v>1994</v>
      </c>
      <c r="B8">
        <v>158.82548800000001</v>
      </c>
      <c r="C8">
        <v>407.27872400000001</v>
      </c>
      <c r="D8" s="44">
        <v>132.94753499999999</v>
      </c>
      <c r="E8">
        <v>121.78115</v>
      </c>
      <c r="G8" s="45">
        <f t="shared" si="0"/>
        <v>291.77302299999997</v>
      </c>
      <c r="H8">
        <f t="shared" si="1"/>
        <v>529.05987400000004</v>
      </c>
      <c r="I8">
        <f t="shared" si="2"/>
        <v>0.81325836281992425</v>
      </c>
      <c r="J8">
        <v>474.46304113000002</v>
      </c>
      <c r="K8">
        <v>634.90381169</v>
      </c>
      <c r="M8">
        <v>115.94313099999999</v>
      </c>
      <c r="N8">
        <v>92.785922529994508</v>
      </c>
      <c r="O8">
        <v>91.595901599999991</v>
      </c>
      <c r="P8">
        <v>93.963644799999997</v>
      </c>
      <c r="S8">
        <v>2.5165184041821327</v>
      </c>
      <c r="T8">
        <v>5.7019411951093462</v>
      </c>
      <c r="U8">
        <f t="shared" si="3"/>
        <v>1.2658054817455127</v>
      </c>
      <c r="V8">
        <v>5.0881091300000003</v>
      </c>
      <c r="W8">
        <v>6.8422032100000001</v>
      </c>
    </row>
    <row r="9" spans="1:25" x14ac:dyDescent="0.45">
      <c r="A9">
        <v>1995</v>
      </c>
      <c r="B9">
        <v>161.493686</v>
      </c>
      <c r="D9" s="44">
        <v>145.690855</v>
      </c>
      <c r="G9" s="45">
        <f t="shared" si="0"/>
        <v>307.18454099999997</v>
      </c>
      <c r="M9">
        <v>118.218327</v>
      </c>
      <c r="S9">
        <v>2.5984510929510947</v>
      </c>
    </row>
    <row r="10" spans="1:25" x14ac:dyDescent="0.45">
      <c r="A10">
        <v>1996</v>
      </c>
      <c r="B10">
        <v>169.79197099999999</v>
      </c>
      <c r="D10" s="44">
        <v>171.57749699999999</v>
      </c>
      <c r="G10" s="45">
        <f t="shared" si="0"/>
        <v>341.36946799999998</v>
      </c>
      <c r="M10">
        <v>120.351208</v>
      </c>
      <c r="S10">
        <v>2.8364440513135523</v>
      </c>
    </row>
    <row r="11" spans="1:25" x14ac:dyDescent="0.45">
      <c r="A11">
        <v>1997</v>
      </c>
      <c r="B11">
        <v>179.89377300000001</v>
      </c>
      <c r="C11">
        <v>571.08000000000004</v>
      </c>
      <c r="D11" s="44">
        <v>195.27004299999999</v>
      </c>
      <c r="E11">
        <v>147.01769999999999</v>
      </c>
      <c r="G11" s="45">
        <f t="shared" si="0"/>
        <v>375.163816</v>
      </c>
      <c r="H11">
        <f t="shared" si="1"/>
        <v>718.09770000000003</v>
      </c>
      <c r="I11">
        <f t="shared" si="2"/>
        <v>0.91409104336437408</v>
      </c>
      <c r="J11">
        <v>640.26656686000001</v>
      </c>
      <c r="K11">
        <v>789.50369197999999</v>
      </c>
      <c r="M11">
        <v>122.42199100000001</v>
      </c>
      <c r="N11">
        <v>97.174999652768193</v>
      </c>
      <c r="O11">
        <v>96.076847999999998</v>
      </c>
      <c r="P11">
        <v>98.228647200000012</v>
      </c>
      <c r="S11">
        <v>3.0645132703322884</v>
      </c>
      <c r="T11">
        <v>7.3897370986977284</v>
      </c>
      <c r="U11">
        <f t="shared" si="3"/>
        <v>1.4113901448031423</v>
      </c>
      <c r="V11">
        <v>6.5732212099999998</v>
      </c>
      <c r="W11">
        <v>8.1424939500000004</v>
      </c>
    </row>
    <row r="12" spans="1:25" x14ac:dyDescent="0.45">
      <c r="A12">
        <v>1998</v>
      </c>
      <c r="B12">
        <v>194.46633700000001</v>
      </c>
      <c r="D12" s="44">
        <v>215.63138699999999</v>
      </c>
      <c r="G12" s="45">
        <f t="shared" si="0"/>
        <v>410.09772399999997</v>
      </c>
      <c r="M12">
        <v>124.770662</v>
      </c>
      <c r="S12">
        <v>3.2868121193426063</v>
      </c>
    </row>
    <row r="13" spans="1:25" x14ac:dyDescent="0.45">
      <c r="A13">
        <v>1999</v>
      </c>
      <c r="B13">
        <v>202.17115099999998</v>
      </c>
      <c r="D13" s="44">
        <v>243.246996</v>
      </c>
      <c r="G13" s="45">
        <f t="shared" si="0"/>
        <v>445.41814699999998</v>
      </c>
      <c r="M13">
        <v>127.07514500000001</v>
      </c>
      <c r="S13">
        <v>3.505155528250627</v>
      </c>
    </row>
    <row r="14" spans="1:25" x14ac:dyDescent="0.45">
      <c r="A14">
        <v>2000</v>
      </c>
      <c r="B14">
        <v>239.440709</v>
      </c>
      <c r="C14">
        <v>649.74699999999996</v>
      </c>
      <c r="D14" s="44">
        <v>249.02877899999999</v>
      </c>
      <c r="E14">
        <v>180.29659000000001</v>
      </c>
      <c r="G14" s="45">
        <f t="shared" si="0"/>
        <v>488.46948799999996</v>
      </c>
      <c r="H14">
        <f t="shared" si="1"/>
        <v>830.04358999999999</v>
      </c>
      <c r="I14">
        <f t="shared" si="2"/>
        <v>0.69927418271005715</v>
      </c>
      <c r="J14">
        <v>761.45378755000002</v>
      </c>
      <c r="K14">
        <v>925.36700109000003</v>
      </c>
      <c r="M14">
        <v>129.37350000000001</v>
      </c>
      <c r="N14">
        <v>102.82484366638801</v>
      </c>
      <c r="O14">
        <v>101.8840816</v>
      </c>
      <c r="P14">
        <v>103.8399192</v>
      </c>
      <c r="S14">
        <v>3.7756533447730791</v>
      </c>
      <c r="T14">
        <v>8.0724031314168627</v>
      </c>
      <c r="U14">
        <f t="shared" si="3"/>
        <v>1.1380149061068059</v>
      </c>
      <c r="V14">
        <v>7.3916525899999996</v>
      </c>
      <c r="W14">
        <v>9.0230187199999996</v>
      </c>
    </row>
    <row r="15" spans="1:25" x14ac:dyDescent="0.45">
      <c r="A15">
        <v>2001</v>
      </c>
      <c r="B15">
        <v>205.76771699999998</v>
      </c>
      <c r="D15" s="44">
        <v>265.00726600000002</v>
      </c>
      <c r="G15" s="45">
        <f t="shared" si="0"/>
        <v>470.77498300000002</v>
      </c>
      <c r="M15">
        <v>130.25523699999999</v>
      </c>
      <c r="S15">
        <v>3.6142499437469833</v>
      </c>
    </row>
    <row r="16" spans="1:25" x14ac:dyDescent="0.45">
      <c r="A16">
        <v>2002</v>
      </c>
      <c r="B16">
        <v>206.363854</v>
      </c>
      <c r="D16" s="44">
        <v>275.36493200000001</v>
      </c>
      <c r="G16" s="45">
        <f t="shared" si="0"/>
        <v>481.72878600000001</v>
      </c>
      <c r="M16">
        <v>130.07644300000001</v>
      </c>
      <c r="S16">
        <v>3.7034283448233589</v>
      </c>
    </row>
    <row r="17" spans="1:23" x14ac:dyDescent="0.45">
      <c r="A17">
        <v>2003</v>
      </c>
      <c r="B17">
        <v>217.283793</v>
      </c>
      <c r="C17">
        <v>422.39400000000001</v>
      </c>
      <c r="D17" s="44">
        <v>292.73423500000001</v>
      </c>
      <c r="E17">
        <v>427.05700000000002</v>
      </c>
      <c r="G17" s="45">
        <f t="shared" si="0"/>
        <v>510.01802800000002</v>
      </c>
      <c r="H17">
        <f t="shared" si="1"/>
        <v>849.45100000000002</v>
      </c>
      <c r="I17">
        <f t="shared" si="2"/>
        <v>0.66553132117910152</v>
      </c>
      <c r="J17">
        <v>783.66742609999994</v>
      </c>
      <c r="K17">
        <v>933.75208816999998</v>
      </c>
      <c r="M17">
        <v>130.42362600000001</v>
      </c>
      <c r="N17">
        <v>106.339060231532</v>
      </c>
      <c r="O17">
        <v>104.99534320000001</v>
      </c>
      <c r="P17">
        <v>107.68366400000001</v>
      </c>
      <c r="S17">
        <v>3.9104726930379927</v>
      </c>
      <c r="T17">
        <v>7.9881371732126514</v>
      </c>
      <c r="U17">
        <f t="shared" si="3"/>
        <v>1.0427548790800472</v>
      </c>
      <c r="V17">
        <v>7.3624496099999996</v>
      </c>
      <c r="W17">
        <v>8.7958903100000008</v>
      </c>
    </row>
    <row r="18" spans="1:23" x14ac:dyDescent="0.45">
      <c r="A18">
        <v>2004</v>
      </c>
      <c r="B18">
        <v>233.978083</v>
      </c>
      <c r="D18" s="44">
        <v>354.327629</v>
      </c>
      <c r="G18" s="45">
        <f t="shared" si="0"/>
        <v>588.30571199999997</v>
      </c>
      <c r="M18">
        <v>132.22604200000001</v>
      </c>
      <c r="S18">
        <v>4.4492423965923447</v>
      </c>
    </row>
    <row r="19" spans="1:23" x14ac:dyDescent="0.45">
      <c r="A19">
        <v>2005</v>
      </c>
      <c r="B19">
        <v>257.53226899999999</v>
      </c>
      <c r="D19" s="44">
        <v>444.01339000000002</v>
      </c>
      <c r="G19" s="45">
        <f t="shared" si="0"/>
        <v>701.545659</v>
      </c>
      <c r="M19">
        <v>134.37267800000001</v>
      </c>
      <c r="S19">
        <v>5.2208951212537418</v>
      </c>
    </row>
    <row r="20" spans="1:23" x14ac:dyDescent="0.45">
      <c r="A20">
        <v>2006</v>
      </c>
      <c r="B20">
        <v>266.195942</v>
      </c>
      <c r="C20">
        <v>503.38799999999998</v>
      </c>
      <c r="D20" s="44">
        <v>463.05601899999999</v>
      </c>
      <c r="E20">
        <v>805.62</v>
      </c>
      <c r="G20" s="45">
        <f t="shared" si="0"/>
        <v>729.25196099999994</v>
      </c>
      <c r="H20">
        <f t="shared" si="1"/>
        <v>1309.008</v>
      </c>
      <c r="I20">
        <f t="shared" si="2"/>
        <v>0.79500100103261861</v>
      </c>
      <c r="J20">
        <v>1227.35833252</v>
      </c>
      <c r="K20">
        <v>1428.1933455400001</v>
      </c>
      <c r="M20">
        <v>138.39475400000001</v>
      </c>
      <c r="N20">
        <v>110.563637815882</v>
      </c>
      <c r="O20">
        <v>109.4001256</v>
      </c>
      <c r="P20">
        <v>111.67692960000001</v>
      </c>
      <c r="S20">
        <v>5.2693613010793738</v>
      </c>
      <c r="T20">
        <v>11.839407836596767</v>
      </c>
      <c r="U20">
        <f t="shared" si="3"/>
        <v>1.2468392581415109</v>
      </c>
      <c r="V20">
        <v>11.088749780000001</v>
      </c>
      <c r="W20">
        <v>12.93073901</v>
      </c>
    </row>
    <row r="21" spans="1:23" x14ac:dyDescent="0.45">
      <c r="A21">
        <v>2007</v>
      </c>
      <c r="B21">
        <v>265.043002</v>
      </c>
      <c r="D21" s="44">
        <v>449.914334</v>
      </c>
      <c r="G21" s="45">
        <f t="shared" si="0"/>
        <v>714.95733599999994</v>
      </c>
      <c r="M21">
        <v>142.97880599999999</v>
      </c>
      <c r="S21">
        <v>5.0004427649227958</v>
      </c>
    </row>
    <row r="22" spans="1:23" x14ac:dyDescent="0.45">
      <c r="A22">
        <v>2008</v>
      </c>
      <c r="B22">
        <v>249.387674</v>
      </c>
      <c r="D22" s="44">
        <v>413.50619999999998</v>
      </c>
      <c r="G22" s="45">
        <f t="shared" si="0"/>
        <v>662.89387399999998</v>
      </c>
      <c r="M22">
        <v>142.450569</v>
      </c>
      <c r="S22">
        <v>4.6535010611294929</v>
      </c>
    </row>
    <row r="23" spans="1:23" x14ac:dyDescent="0.45">
      <c r="A23">
        <v>2009</v>
      </c>
      <c r="B23">
        <v>230.88756999999998</v>
      </c>
      <c r="C23">
        <v>450.50099999999998</v>
      </c>
      <c r="D23" s="44">
        <v>380.83649000000003</v>
      </c>
      <c r="E23">
        <v>720.72699999999998</v>
      </c>
      <c r="G23" s="45">
        <f t="shared" si="0"/>
        <v>611.72406000000001</v>
      </c>
      <c r="H23">
        <f t="shared" si="1"/>
        <v>1171.2280000000001</v>
      </c>
      <c r="I23">
        <f t="shared" si="2"/>
        <v>0.91463451674599827</v>
      </c>
      <c r="J23">
        <v>1084.56757821</v>
      </c>
      <c r="K23">
        <v>1275.8289809400001</v>
      </c>
      <c r="M23">
        <v>140.49412699999999</v>
      </c>
      <c r="N23">
        <v>113.64436196364599</v>
      </c>
      <c r="O23">
        <v>112.5949904</v>
      </c>
      <c r="P23">
        <v>114.61633759999999</v>
      </c>
      <c r="S23">
        <v>4.3540899044128727</v>
      </c>
      <c r="T23">
        <v>10.306081003601985</v>
      </c>
      <c r="U23">
        <f t="shared" si="3"/>
        <v>1.3669885624448788</v>
      </c>
      <c r="V23">
        <v>9.5344704500000006</v>
      </c>
      <c r="W23">
        <v>11.226721510000001</v>
      </c>
    </row>
    <row r="24" spans="1:23" x14ac:dyDescent="0.45">
      <c r="A24">
        <v>2010</v>
      </c>
      <c r="B24">
        <v>255.53330699999998</v>
      </c>
      <c r="D24" s="44">
        <v>445.73448500000001</v>
      </c>
      <c r="G24" s="45">
        <f t="shared" si="0"/>
        <v>701.26779199999999</v>
      </c>
      <c r="M24">
        <v>142.89205100000001</v>
      </c>
      <c r="S24">
        <v>4.9076753191820304</v>
      </c>
    </row>
    <row r="25" spans="1:23" x14ac:dyDescent="0.45">
      <c r="A25">
        <v>2011</v>
      </c>
      <c r="B25">
        <v>273.367593</v>
      </c>
      <c r="D25" s="44">
        <v>486.01595500000002</v>
      </c>
      <c r="G25" s="45">
        <f t="shared" si="0"/>
        <v>759.38354800000002</v>
      </c>
      <c r="M25">
        <v>145.37024</v>
      </c>
      <c r="S25">
        <v>5.2237896009527125</v>
      </c>
    </row>
    <row r="26" spans="1:23" x14ac:dyDescent="0.45">
      <c r="A26">
        <v>2012</v>
      </c>
      <c r="B26">
        <v>298.659852</v>
      </c>
      <c r="C26">
        <v>394.96600000000001</v>
      </c>
      <c r="D26" s="44">
        <v>613.25834699999996</v>
      </c>
      <c r="E26">
        <v>949.25900000000001</v>
      </c>
      <c r="G26" s="45">
        <f t="shared" si="0"/>
        <v>911.91819899999996</v>
      </c>
      <c r="H26">
        <f t="shared" si="1"/>
        <v>1344.2249999999999</v>
      </c>
      <c r="I26">
        <f t="shared" si="2"/>
        <v>0.47406313578790632</v>
      </c>
      <c r="J26">
        <v>1252.88082637</v>
      </c>
      <c r="K26">
        <v>1489.73170196</v>
      </c>
      <c r="M26">
        <v>144.928472</v>
      </c>
      <c r="N26" s="46">
        <v>118.261830802934</v>
      </c>
      <c r="O26">
        <v>117.1488872</v>
      </c>
      <c r="P26">
        <v>119.34762239999999</v>
      </c>
      <c r="S26">
        <v>6.2921949456556749</v>
      </c>
      <c r="T26">
        <v>11.366516067554828</v>
      </c>
      <c r="U26">
        <f t="shared" si="3"/>
        <v>0.80644690218992987</v>
      </c>
      <c r="V26">
        <v>10.53553063</v>
      </c>
      <c r="W26">
        <v>12.624131159999999</v>
      </c>
    </row>
    <row r="27" spans="1:23" x14ac:dyDescent="0.45">
      <c r="A27">
        <v>2013</v>
      </c>
      <c r="B27">
        <v>294.27427399999999</v>
      </c>
      <c r="D27" s="44">
        <v>613.54146600000001</v>
      </c>
      <c r="G27" s="45">
        <f t="shared" si="0"/>
        <v>907.81574000000001</v>
      </c>
      <c r="M27">
        <v>147.35129900000001</v>
      </c>
      <c r="S27">
        <v>6.1608940413888043</v>
      </c>
    </row>
    <row r="28" spans="1:23" x14ac:dyDescent="0.45">
      <c r="A28">
        <v>2014</v>
      </c>
      <c r="B28">
        <v>308.98254700000001</v>
      </c>
      <c r="D28" s="44">
        <v>679.383869</v>
      </c>
      <c r="G28" s="45">
        <f t="shared" si="0"/>
        <v>988.36641600000007</v>
      </c>
      <c r="M28">
        <v>148.60657800000001</v>
      </c>
      <c r="S28">
        <v>6.650892775419404</v>
      </c>
    </row>
    <row r="29" spans="1:23" x14ac:dyDescent="0.45">
      <c r="A29">
        <v>2015</v>
      </c>
      <c r="B29">
        <v>317.85051700000002</v>
      </c>
      <c r="C29">
        <v>572.53200000000004</v>
      </c>
      <c r="D29" s="44">
        <v>713.23770100000002</v>
      </c>
      <c r="E29">
        <v>1142.1030000000001</v>
      </c>
      <c r="G29" s="45">
        <f t="shared" si="0"/>
        <v>1031.0882180000001</v>
      </c>
      <c r="H29">
        <f t="shared" si="1"/>
        <v>1714.6350000000002</v>
      </c>
      <c r="I29">
        <f t="shared" si="2"/>
        <v>0.66293724442499646</v>
      </c>
      <c r="J29">
        <v>1581.00063191</v>
      </c>
      <c r="K29">
        <v>1842.5752780800001</v>
      </c>
      <c r="M29">
        <v>150.49326300000001</v>
      </c>
      <c r="N29">
        <v>122.889383783092</v>
      </c>
      <c r="O29">
        <v>121.87955839999999</v>
      </c>
      <c r="P29">
        <v>123.8460432</v>
      </c>
      <c r="S29">
        <v>6.8513912014785685</v>
      </c>
      <c r="T29">
        <v>13.952669850037216</v>
      </c>
      <c r="U29">
        <f t="shared" si="3"/>
        <v>1.0364725118930811</v>
      </c>
      <c r="V29">
        <v>12.8711962</v>
      </c>
      <c r="W29">
        <v>14.999115239999998</v>
      </c>
    </row>
    <row r="30" spans="1:23" x14ac:dyDescent="0.45">
      <c r="D30" s="47"/>
    </row>
    <row r="31" spans="1:23" x14ac:dyDescent="0.45">
      <c r="A31" s="53" t="s">
        <v>38</v>
      </c>
      <c r="B31" s="54"/>
      <c r="C31" s="54"/>
      <c r="D31" s="54"/>
      <c r="E31" s="54"/>
      <c r="F31" s="54"/>
      <c r="G31" s="54"/>
      <c r="H31" s="54">
        <f>AVERAGE(H2:H29)</f>
        <v>946.27980739999998</v>
      </c>
      <c r="I31" s="54">
        <f>AVERAGE(I2:I29)</f>
        <v>0.8997735421789137</v>
      </c>
      <c r="J31" s="54"/>
      <c r="K31" s="54"/>
      <c r="L31" s="54"/>
      <c r="M31" s="54"/>
      <c r="N31" s="54"/>
      <c r="O31" s="54"/>
      <c r="P31" s="54"/>
      <c r="Q31" s="54"/>
      <c r="R31" s="54"/>
      <c r="S31" s="54"/>
      <c r="T31" s="54">
        <f t="shared" ref="T31" si="4">AVERAGE(T2:T29)</f>
        <v>8.8489691615862309</v>
      </c>
      <c r="U31" s="54">
        <f>AVERAGE(U2:U29)</f>
        <v>1.4107269200396171</v>
      </c>
      <c r="V31" s="54"/>
      <c r="W31" s="54"/>
    </row>
    <row r="32" spans="1:23" x14ac:dyDescent="0.45">
      <c r="A32" s="53" t="s">
        <v>39</v>
      </c>
      <c r="B32" s="54"/>
      <c r="C32" s="54"/>
      <c r="D32" s="54"/>
      <c r="E32" s="54"/>
      <c r="F32" s="54"/>
      <c r="G32" s="54"/>
      <c r="H32" s="54">
        <f>MIN(H2:H29)</f>
        <v>411.89390000000003</v>
      </c>
      <c r="I32" s="54">
        <f>MIN(I2:I29)</f>
        <v>0.47406313578790632</v>
      </c>
      <c r="J32" s="54"/>
      <c r="K32" s="54"/>
      <c r="L32" s="54"/>
      <c r="M32" s="54"/>
      <c r="N32" s="54"/>
      <c r="O32" s="54"/>
      <c r="P32" s="54"/>
      <c r="Q32" s="54"/>
      <c r="R32" s="54"/>
      <c r="S32" s="54"/>
      <c r="T32" s="54">
        <f t="shared" ref="T32:U32" si="5">MIN(T2:T29)</f>
        <v>5.2133054237892749</v>
      </c>
      <c r="U32" s="54">
        <f t="shared" si="5"/>
        <v>0.80644690218992987</v>
      </c>
      <c r="V32" s="54"/>
      <c r="W32" s="54"/>
    </row>
    <row r="33" spans="1:23" x14ac:dyDescent="0.45">
      <c r="A33" s="53" t="s">
        <v>40</v>
      </c>
      <c r="B33" s="54"/>
      <c r="C33" s="54"/>
      <c r="D33" s="54"/>
      <c r="E33" s="54"/>
      <c r="F33" s="54"/>
      <c r="G33" s="54"/>
      <c r="H33" s="54">
        <f t="shared" ref="H33" si="6">MAX(H2:H29)</f>
        <v>1714.6350000000002</v>
      </c>
      <c r="I33" s="54">
        <f>MAX(I2:I29)</f>
        <v>1.8015920309914988</v>
      </c>
      <c r="J33" s="54"/>
      <c r="K33" s="54"/>
      <c r="L33" s="54"/>
      <c r="M33" s="54"/>
      <c r="N33" s="54"/>
      <c r="O33" s="54"/>
      <c r="P33" s="54"/>
      <c r="Q33" s="54"/>
      <c r="R33" s="54"/>
      <c r="S33" s="54"/>
      <c r="T33" s="54">
        <f t="shared" ref="T33:U33" si="7">MAX(T2:T29)</f>
        <v>13.952669850037216</v>
      </c>
      <c r="U33" s="54">
        <f t="shared" si="7"/>
        <v>2.6580685422724084</v>
      </c>
      <c r="V33" s="54"/>
      <c r="W33" s="54"/>
    </row>
    <row r="34" spans="1:23" x14ac:dyDescent="0.45">
      <c r="D34" s="48"/>
      <c r="E34" s="50"/>
      <c r="F34" s="50"/>
    </row>
    <row r="35" spans="1:23" x14ac:dyDescent="0.45">
      <c r="B35" s="48"/>
      <c r="C35" s="48"/>
      <c r="D35" s="48"/>
      <c r="E35" s="49"/>
      <c r="F35" s="49"/>
    </row>
    <row r="36" spans="1:23" x14ac:dyDescent="0.45">
      <c r="B36" s="48"/>
      <c r="C36" s="48"/>
      <c r="D36" s="48"/>
      <c r="E36" s="49"/>
      <c r="F36" s="49"/>
    </row>
    <row r="37" spans="1:23" x14ac:dyDescent="0.45">
      <c r="D37" s="51"/>
      <c r="E37" s="51"/>
      <c r="F37" s="51"/>
    </row>
    <row r="39" spans="1:23" x14ac:dyDescent="0.45">
      <c r="D39" s="47"/>
      <c r="E39" s="47"/>
      <c r="F39" s="47"/>
    </row>
    <row r="55" spans="4:4" x14ac:dyDescent="0.45">
      <c r="D55" s="47"/>
    </row>
    <row r="56" spans="4:4" x14ac:dyDescent="0.45">
      <c r="D56" s="47"/>
    </row>
    <row r="57" spans="4:4" x14ac:dyDescent="0.45">
      <c r="D57" s="47"/>
    </row>
    <row r="58" spans="4:4" x14ac:dyDescent="0.45">
      <c r="D58" s="47"/>
    </row>
    <row r="59" spans="4:4" x14ac:dyDescent="0.45">
      <c r="D59" s="47"/>
    </row>
    <row r="60" spans="4:4" x14ac:dyDescent="0.45">
      <c r="D60" s="47"/>
    </row>
    <row r="61" spans="4:4" x14ac:dyDescent="0.45">
      <c r="D61" s="47"/>
    </row>
    <row r="62" spans="4:4" x14ac:dyDescent="0.45">
      <c r="D62" s="47"/>
    </row>
    <row r="63" spans="4:4" x14ac:dyDescent="0.45">
      <c r="D63" s="47"/>
    </row>
    <row r="64" spans="4:4" x14ac:dyDescent="0.45">
      <c r="D64" s="47"/>
    </row>
    <row r="65" spans="4:4" x14ac:dyDescent="0.45">
      <c r="D65" s="47"/>
    </row>
    <row r="66" spans="4:4" x14ac:dyDescent="0.45">
      <c r="D66" s="47"/>
    </row>
    <row r="67" spans="4:4" x14ac:dyDescent="0.45">
      <c r="D67" s="47"/>
    </row>
    <row r="68" spans="4:4" x14ac:dyDescent="0.45">
      <c r="D68" s="47"/>
    </row>
    <row r="69" spans="4:4" x14ac:dyDescent="0.45">
      <c r="D69" s="47"/>
    </row>
    <row r="70" spans="4:4" x14ac:dyDescent="0.45">
      <c r="D70" s="47"/>
    </row>
    <row r="71" spans="4:4" x14ac:dyDescent="0.45">
      <c r="D71" s="47"/>
    </row>
    <row r="72" spans="4:4" x14ac:dyDescent="0.45">
      <c r="D72" s="47"/>
    </row>
    <row r="73" spans="4:4" x14ac:dyDescent="0.45">
      <c r="D73" s="47"/>
    </row>
    <row r="74" spans="4:4" x14ac:dyDescent="0.45">
      <c r="D74" s="47"/>
    </row>
    <row r="75" spans="4:4" x14ac:dyDescent="0.45">
      <c r="D75" s="47"/>
    </row>
    <row r="76" spans="4:4" x14ac:dyDescent="0.45">
      <c r="D76" s="47"/>
    </row>
    <row r="77" spans="4:4" x14ac:dyDescent="0.45">
      <c r="D77" s="47"/>
    </row>
    <row r="78" spans="4:4" x14ac:dyDescent="0.45">
      <c r="D78" s="47"/>
    </row>
    <row r="79" spans="4:4" x14ac:dyDescent="0.45">
      <c r="D79" s="47"/>
    </row>
    <row r="80" spans="4:4" x14ac:dyDescent="0.45">
      <c r="D80" s="47"/>
    </row>
    <row r="81" spans="4:4" x14ac:dyDescent="0.45">
      <c r="D81" s="47"/>
    </row>
    <row r="82" spans="4:4" x14ac:dyDescent="0.45">
      <c r="D82" s="47"/>
    </row>
    <row r="83" spans="4:4" x14ac:dyDescent="0.45">
      <c r="D83" s="47"/>
    </row>
    <row r="84" spans="4:4" x14ac:dyDescent="0.45">
      <c r="D84" s="47"/>
    </row>
    <row r="85" spans="4:4" x14ac:dyDescent="0.45">
      <c r="D85" s="47"/>
    </row>
    <row r="86" spans="4:4" x14ac:dyDescent="0.45">
      <c r="D86" s="47"/>
    </row>
    <row r="87" spans="4:4" x14ac:dyDescent="0.45">
      <c r="D87" s="47"/>
    </row>
    <row r="88" spans="4:4" x14ac:dyDescent="0.45">
      <c r="D88" s="47"/>
    </row>
    <row r="89" spans="4:4" x14ac:dyDescent="0.45">
      <c r="D89" s="47"/>
    </row>
    <row r="90" spans="4:4" x14ac:dyDescent="0.45">
      <c r="D90" s="47"/>
    </row>
    <row r="91" spans="4:4" x14ac:dyDescent="0.45">
      <c r="D91" s="47"/>
    </row>
    <row r="92" spans="4:4" x14ac:dyDescent="0.45">
      <c r="D92" s="47"/>
    </row>
    <row r="93" spans="4:4" x14ac:dyDescent="0.45">
      <c r="D93" s="47"/>
    </row>
    <row r="94" spans="4:4" x14ac:dyDescent="0.45">
      <c r="D94" s="47"/>
    </row>
    <row r="95" spans="4:4" x14ac:dyDescent="0.45">
      <c r="D95" s="47"/>
    </row>
    <row r="96" spans="4:4" x14ac:dyDescent="0.45">
      <c r="D96" s="47"/>
    </row>
    <row r="97" spans="4:4" x14ac:dyDescent="0.45">
      <c r="D97" s="47"/>
    </row>
    <row r="98" spans="4:4" x14ac:dyDescent="0.45">
      <c r="D98" s="47"/>
    </row>
    <row r="99" spans="4:4" x14ac:dyDescent="0.45">
      <c r="D99" s="47"/>
    </row>
    <row r="100" spans="4:4" x14ac:dyDescent="0.45">
      <c r="D100" s="47"/>
    </row>
    <row r="101" spans="4:4" x14ac:dyDescent="0.45">
      <c r="D101" s="47"/>
    </row>
    <row r="102" spans="4:4" x14ac:dyDescent="0.45">
      <c r="D102" s="47"/>
    </row>
    <row r="103" spans="4:4" x14ac:dyDescent="0.45">
      <c r="D103" s="47"/>
    </row>
    <row r="104" spans="4:4" x14ac:dyDescent="0.45">
      <c r="D104" s="47"/>
    </row>
    <row r="105" spans="4:4" x14ac:dyDescent="0.45">
      <c r="D105" s="47"/>
    </row>
    <row r="106" spans="4:4" x14ac:dyDescent="0.45">
      <c r="D106" s="47"/>
    </row>
    <row r="107" spans="4:4" x14ac:dyDescent="0.45">
      <c r="D107" s="47"/>
    </row>
    <row r="108" spans="4:4" x14ac:dyDescent="0.45">
      <c r="D108" s="47"/>
    </row>
    <row r="109" spans="4:4" x14ac:dyDescent="0.45">
      <c r="D109" s="47"/>
    </row>
    <row r="110" spans="4:4" x14ac:dyDescent="0.45">
      <c r="D110" s="47"/>
    </row>
    <row r="111" spans="4:4" x14ac:dyDescent="0.45">
      <c r="D111" s="47"/>
    </row>
    <row r="112" spans="4:4" x14ac:dyDescent="0.45">
      <c r="D112" s="47"/>
    </row>
    <row r="113" spans="4:4" x14ac:dyDescent="0.45">
      <c r="D113" s="47"/>
    </row>
    <row r="114" spans="4:4" x14ac:dyDescent="0.45">
      <c r="D114" s="47"/>
    </row>
    <row r="115" spans="4:4" x14ac:dyDescent="0.45">
      <c r="D115" s="47"/>
    </row>
    <row r="116" spans="4:4" x14ac:dyDescent="0.45">
      <c r="D116" s="47"/>
    </row>
    <row r="117" spans="4:4" x14ac:dyDescent="0.45">
      <c r="D117" s="47"/>
    </row>
    <row r="118" spans="4:4" x14ac:dyDescent="0.45">
      <c r="D118" s="47"/>
    </row>
    <row r="119" spans="4:4" x14ac:dyDescent="0.45">
      <c r="D119" s="47"/>
    </row>
    <row r="120" spans="4:4" x14ac:dyDescent="0.45">
      <c r="D120" s="47"/>
    </row>
    <row r="121" spans="4:4" x14ac:dyDescent="0.45">
      <c r="D121" s="47"/>
    </row>
    <row r="122" spans="4:4" x14ac:dyDescent="0.45">
      <c r="D122" s="47"/>
    </row>
    <row r="123" spans="4:4" x14ac:dyDescent="0.45">
      <c r="D123" s="47"/>
    </row>
    <row r="124" spans="4:4" x14ac:dyDescent="0.45">
      <c r="D124" s="47"/>
    </row>
    <row r="125" spans="4:4" x14ac:dyDescent="0.45">
      <c r="D125" s="47"/>
    </row>
    <row r="126" spans="4:4" x14ac:dyDescent="0.45">
      <c r="D126" s="47"/>
    </row>
    <row r="127" spans="4:4" x14ac:dyDescent="0.45">
      <c r="D127" s="47"/>
    </row>
    <row r="128" spans="4:4" x14ac:dyDescent="0.45">
      <c r="D128" s="47"/>
    </row>
    <row r="129" spans="4:4" x14ac:dyDescent="0.45">
      <c r="D129" s="47"/>
    </row>
    <row r="130" spans="4:4" x14ac:dyDescent="0.45">
      <c r="D130" s="47"/>
    </row>
    <row r="131" spans="4:4" x14ac:dyDescent="0.45">
      <c r="D131" s="47"/>
    </row>
    <row r="132" spans="4:4" x14ac:dyDescent="0.45">
      <c r="D132" s="47"/>
    </row>
    <row r="133" spans="4:4" x14ac:dyDescent="0.45">
      <c r="D133" s="47"/>
    </row>
    <row r="134" spans="4:4" x14ac:dyDescent="0.45">
      <c r="D134" s="47"/>
    </row>
    <row r="135" spans="4:4" x14ac:dyDescent="0.45">
      <c r="D135" s="47"/>
    </row>
    <row r="136" spans="4:4" x14ac:dyDescent="0.45">
      <c r="D136" s="47"/>
    </row>
    <row r="137" spans="4:4" x14ac:dyDescent="0.45">
      <c r="D137" s="47"/>
    </row>
    <row r="138" spans="4:4" x14ac:dyDescent="0.45">
      <c r="D138" s="47"/>
    </row>
    <row r="139" spans="4:4" x14ac:dyDescent="0.45">
      <c r="D139" s="47"/>
    </row>
    <row r="140" spans="4:4" x14ac:dyDescent="0.45">
      <c r="D140" s="47"/>
    </row>
    <row r="141" spans="4:4" x14ac:dyDescent="0.45">
      <c r="D141" s="47"/>
    </row>
    <row r="142" spans="4:4" x14ac:dyDescent="0.45">
      <c r="D142" s="47"/>
    </row>
    <row r="143" spans="4:4" x14ac:dyDescent="0.45">
      <c r="D143" s="47"/>
    </row>
    <row r="144" spans="4:4" x14ac:dyDescent="0.45">
      <c r="D144" s="47"/>
    </row>
    <row r="145" spans="4:4" x14ac:dyDescent="0.45">
      <c r="D145" s="47"/>
    </row>
    <row r="146" spans="4:4" x14ac:dyDescent="0.45">
      <c r="D146" s="47"/>
    </row>
    <row r="147" spans="4:4" x14ac:dyDescent="0.45">
      <c r="D147" s="47"/>
    </row>
    <row r="148" spans="4:4" x14ac:dyDescent="0.45">
      <c r="D148" s="47"/>
    </row>
    <row r="149" spans="4:4" x14ac:dyDescent="0.45">
      <c r="D149" s="47"/>
    </row>
    <row r="150" spans="4:4" x14ac:dyDescent="0.45">
      <c r="D150" s="47"/>
    </row>
    <row r="151" spans="4:4" x14ac:dyDescent="0.45">
      <c r="D151" s="47"/>
    </row>
    <row r="152" spans="4:4" x14ac:dyDescent="0.45">
      <c r="D152" s="47"/>
    </row>
    <row r="153" spans="4:4" x14ac:dyDescent="0.45">
      <c r="D153" s="47"/>
    </row>
    <row r="154" spans="4:4" x14ac:dyDescent="0.45">
      <c r="D154" s="47"/>
    </row>
    <row r="155" spans="4:4" x14ac:dyDescent="0.45">
      <c r="D155" s="47"/>
    </row>
    <row r="156" spans="4:4" x14ac:dyDescent="0.45">
      <c r="D156" s="47"/>
    </row>
    <row r="157" spans="4:4" x14ac:dyDescent="0.45">
      <c r="D157" s="47"/>
    </row>
    <row r="158" spans="4:4" x14ac:dyDescent="0.45">
      <c r="D158" s="47"/>
    </row>
    <row r="159" spans="4:4" x14ac:dyDescent="0.45">
      <c r="D159" s="47"/>
    </row>
    <row r="160" spans="4:4" x14ac:dyDescent="0.45">
      <c r="D160" s="47"/>
    </row>
    <row r="161" spans="4:4" x14ac:dyDescent="0.45">
      <c r="D161" s="47"/>
    </row>
    <row r="162" spans="4:4" x14ac:dyDescent="0.45">
      <c r="D162" s="47"/>
    </row>
    <row r="163" spans="4:4" x14ac:dyDescent="0.45">
      <c r="D163" s="47"/>
    </row>
    <row r="164" spans="4:4" x14ac:dyDescent="0.45">
      <c r="D164" s="47"/>
    </row>
    <row r="165" spans="4:4" x14ac:dyDescent="0.45">
      <c r="D165" s="47"/>
    </row>
    <row r="166" spans="4:4" x14ac:dyDescent="0.45">
      <c r="D166" s="47"/>
    </row>
    <row r="167" spans="4:4" x14ac:dyDescent="0.45">
      <c r="D167" s="47"/>
    </row>
    <row r="168" spans="4:4" x14ac:dyDescent="0.45">
      <c r="D168" s="47"/>
    </row>
    <row r="169" spans="4:4" x14ac:dyDescent="0.45">
      <c r="D169" s="47"/>
    </row>
    <row r="170" spans="4:4" x14ac:dyDescent="0.45">
      <c r="D170" s="47"/>
    </row>
    <row r="171" spans="4:4" x14ac:dyDescent="0.45">
      <c r="D171" s="47"/>
    </row>
    <row r="172" spans="4:4" x14ac:dyDescent="0.45">
      <c r="D172" s="47"/>
    </row>
    <row r="173" spans="4:4" x14ac:dyDescent="0.45">
      <c r="D173" s="47"/>
    </row>
    <row r="174" spans="4:4" x14ac:dyDescent="0.45">
      <c r="D174" s="47"/>
    </row>
    <row r="175" spans="4:4" x14ac:dyDescent="0.45">
      <c r="D175" s="47"/>
    </row>
    <row r="176" spans="4:4" x14ac:dyDescent="0.45">
      <c r="D176" s="47"/>
    </row>
    <row r="177" spans="4:4" x14ac:dyDescent="0.45">
      <c r="D177" s="47"/>
    </row>
    <row r="178" spans="4:4" x14ac:dyDescent="0.45">
      <c r="D178" s="47"/>
    </row>
    <row r="179" spans="4:4" x14ac:dyDescent="0.45">
      <c r="D179" s="47"/>
    </row>
    <row r="180" spans="4:4" x14ac:dyDescent="0.45">
      <c r="D180" s="47"/>
    </row>
    <row r="181" spans="4:4" x14ac:dyDescent="0.45">
      <c r="D181" s="47"/>
    </row>
    <row r="182" spans="4:4" x14ac:dyDescent="0.45">
      <c r="D182" s="47"/>
    </row>
    <row r="183" spans="4:4" x14ac:dyDescent="0.45">
      <c r="D183" s="47"/>
    </row>
    <row r="184" spans="4:4" x14ac:dyDescent="0.45">
      <c r="D184" s="47"/>
    </row>
    <row r="185" spans="4:4" x14ac:dyDescent="0.45">
      <c r="D185" s="47"/>
    </row>
    <row r="186" spans="4:4" x14ac:dyDescent="0.45">
      <c r="D186" s="47"/>
    </row>
    <row r="187" spans="4:4" x14ac:dyDescent="0.45">
      <c r="D187" s="47"/>
    </row>
    <row r="188" spans="4:4" x14ac:dyDescent="0.45">
      <c r="D188" s="47"/>
    </row>
    <row r="189" spans="4:4" x14ac:dyDescent="0.45">
      <c r="D189" s="47"/>
    </row>
    <row r="190" spans="4:4" x14ac:dyDescent="0.45">
      <c r="D190" s="47"/>
    </row>
    <row r="191" spans="4:4" x14ac:dyDescent="0.45">
      <c r="D191" s="47"/>
    </row>
    <row r="192" spans="4:4" x14ac:dyDescent="0.45">
      <c r="D192" s="47"/>
    </row>
    <row r="193" spans="4:4" x14ac:dyDescent="0.45">
      <c r="D193" s="47"/>
    </row>
    <row r="194" spans="4:4" x14ac:dyDescent="0.45">
      <c r="D194" s="47"/>
    </row>
    <row r="195" spans="4:4" x14ac:dyDescent="0.45">
      <c r="D195" s="47"/>
    </row>
    <row r="196" spans="4:4" x14ac:dyDescent="0.45">
      <c r="D196" s="47"/>
    </row>
    <row r="197" spans="4:4" x14ac:dyDescent="0.45">
      <c r="D197" s="47"/>
    </row>
    <row r="198" spans="4:4" x14ac:dyDescent="0.45">
      <c r="D198" s="47"/>
    </row>
    <row r="199" spans="4:4" x14ac:dyDescent="0.45">
      <c r="D199" s="47"/>
    </row>
    <row r="200" spans="4:4" x14ac:dyDescent="0.45">
      <c r="D200" s="47"/>
    </row>
    <row r="201" spans="4:4" x14ac:dyDescent="0.45">
      <c r="D201" s="47"/>
    </row>
    <row r="202" spans="4:4" x14ac:dyDescent="0.45">
      <c r="D202" s="47"/>
    </row>
    <row r="203" spans="4:4" x14ac:dyDescent="0.45">
      <c r="D203" s="47"/>
    </row>
    <row r="204" spans="4:4" x14ac:dyDescent="0.45">
      <c r="D204" s="47"/>
    </row>
    <row r="205" spans="4:4" x14ac:dyDescent="0.45">
      <c r="D205" s="47"/>
    </row>
    <row r="206" spans="4:4" x14ac:dyDescent="0.45">
      <c r="D206" s="47"/>
    </row>
    <row r="207" spans="4:4" x14ac:dyDescent="0.45">
      <c r="D207" s="47"/>
    </row>
    <row r="208" spans="4:4" x14ac:dyDescent="0.45">
      <c r="D208" s="47"/>
    </row>
    <row r="209" spans="4:4" x14ac:dyDescent="0.45">
      <c r="D209" s="47"/>
    </row>
    <row r="210" spans="4:4" x14ac:dyDescent="0.45">
      <c r="D210" s="47"/>
    </row>
    <row r="211" spans="4:4" x14ac:dyDescent="0.45">
      <c r="D211" s="47"/>
    </row>
    <row r="212" spans="4:4" x14ac:dyDescent="0.45">
      <c r="D212" s="47"/>
    </row>
    <row r="213" spans="4:4" x14ac:dyDescent="0.45">
      <c r="D213" s="47"/>
    </row>
    <row r="214" spans="4:4" x14ac:dyDescent="0.45">
      <c r="D214" s="47"/>
    </row>
    <row r="215" spans="4:4" x14ac:dyDescent="0.45">
      <c r="D215" s="47"/>
    </row>
    <row r="216" spans="4:4" x14ac:dyDescent="0.45">
      <c r="D216" s="47"/>
    </row>
    <row r="217" spans="4:4" x14ac:dyDescent="0.45">
      <c r="D217" s="47"/>
    </row>
    <row r="218" spans="4:4" x14ac:dyDescent="0.45">
      <c r="D218" s="47"/>
    </row>
    <row r="219" spans="4:4" x14ac:dyDescent="0.45">
      <c r="D219" s="47"/>
    </row>
    <row r="220" spans="4:4" x14ac:dyDescent="0.45">
      <c r="D220" s="47"/>
    </row>
    <row r="221" spans="4:4" x14ac:dyDescent="0.45">
      <c r="D221" s="47"/>
    </row>
    <row r="222" spans="4:4" x14ac:dyDescent="0.45">
      <c r="D222" s="47"/>
    </row>
    <row r="223" spans="4:4" x14ac:dyDescent="0.45">
      <c r="D223" s="47"/>
    </row>
    <row r="224" spans="4:4" x14ac:dyDescent="0.45">
      <c r="D224" s="47"/>
    </row>
    <row r="225" spans="4:4" x14ac:dyDescent="0.45">
      <c r="D225" s="47"/>
    </row>
    <row r="226" spans="4:4" x14ac:dyDescent="0.45">
      <c r="D226" s="47"/>
    </row>
    <row r="227" spans="4:4" x14ac:dyDescent="0.45">
      <c r="D227" s="47"/>
    </row>
    <row r="228" spans="4:4" x14ac:dyDescent="0.45">
      <c r="D228" s="47"/>
    </row>
    <row r="229" spans="4:4" x14ac:dyDescent="0.45">
      <c r="D229" s="47"/>
    </row>
    <row r="230" spans="4:4" x14ac:dyDescent="0.45">
      <c r="D230" s="47"/>
    </row>
    <row r="231" spans="4:4" x14ac:dyDescent="0.45">
      <c r="D231" s="47"/>
    </row>
    <row r="232" spans="4:4" x14ac:dyDescent="0.45">
      <c r="D232" s="47"/>
    </row>
    <row r="233" spans="4:4" x14ac:dyDescent="0.45">
      <c r="D233" s="47"/>
    </row>
    <row r="234" spans="4:4" x14ac:dyDescent="0.45">
      <c r="D234" s="47"/>
    </row>
    <row r="235" spans="4:4" x14ac:dyDescent="0.45">
      <c r="D235" s="47"/>
    </row>
    <row r="236" spans="4:4" x14ac:dyDescent="0.45">
      <c r="D236" s="47"/>
    </row>
    <row r="237" spans="4:4" x14ac:dyDescent="0.45">
      <c r="D237" s="47"/>
    </row>
    <row r="238" spans="4:4" x14ac:dyDescent="0.45">
      <c r="D238" s="47"/>
    </row>
    <row r="239" spans="4:4" x14ac:dyDescent="0.45">
      <c r="D239" s="47"/>
    </row>
    <row r="240" spans="4:4" x14ac:dyDescent="0.45">
      <c r="D240" s="47"/>
    </row>
    <row r="241" spans="4:4" x14ac:dyDescent="0.45">
      <c r="D241" s="47"/>
    </row>
    <row r="242" spans="4:4" x14ac:dyDescent="0.45">
      <c r="D242" s="47"/>
    </row>
    <row r="243" spans="4:4" x14ac:dyDescent="0.45">
      <c r="D243" s="47"/>
    </row>
    <row r="244" spans="4:4" x14ac:dyDescent="0.45">
      <c r="D244" s="47"/>
    </row>
    <row r="245" spans="4:4" x14ac:dyDescent="0.45">
      <c r="D245" s="47"/>
    </row>
    <row r="246" spans="4:4" x14ac:dyDescent="0.45">
      <c r="D246" s="47"/>
    </row>
    <row r="247" spans="4:4" x14ac:dyDescent="0.45">
      <c r="D247" s="47"/>
    </row>
    <row r="248" spans="4:4" x14ac:dyDescent="0.45">
      <c r="D248" s="47"/>
    </row>
    <row r="249" spans="4:4" x14ac:dyDescent="0.45">
      <c r="D249" s="47"/>
    </row>
    <row r="250" spans="4:4" x14ac:dyDescent="0.45">
      <c r="D250" s="47"/>
    </row>
    <row r="251" spans="4:4" x14ac:dyDescent="0.45">
      <c r="D251" s="47"/>
    </row>
    <row r="252" spans="4:4" x14ac:dyDescent="0.45">
      <c r="D252" s="47"/>
    </row>
    <row r="253" spans="4:4" x14ac:dyDescent="0.45">
      <c r="D253" s="47"/>
    </row>
    <row r="254" spans="4:4" x14ac:dyDescent="0.45">
      <c r="D254" s="47"/>
    </row>
    <row r="255" spans="4:4" x14ac:dyDescent="0.45">
      <c r="D255" s="47"/>
    </row>
    <row r="256" spans="4:4" x14ac:dyDescent="0.45">
      <c r="D256" s="47"/>
    </row>
    <row r="257" spans="4:4" x14ac:dyDescent="0.45">
      <c r="D257" s="47"/>
    </row>
    <row r="258" spans="4:4" x14ac:dyDescent="0.45">
      <c r="D258" s="47"/>
    </row>
    <row r="259" spans="4:4" x14ac:dyDescent="0.45">
      <c r="D259" s="47"/>
    </row>
    <row r="260" spans="4:4" x14ac:dyDescent="0.45">
      <c r="D260" s="47"/>
    </row>
    <row r="261" spans="4:4" x14ac:dyDescent="0.45">
      <c r="D261" s="47"/>
    </row>
    <row r="262" spans="4:4" x14ac:dyDescent="0.45">
      <c r="D262" s="47"/>
    </row>
    <row r="263" spans="4:4" x14ac:dyDescent="0.45">
      <c r="D263" s="47"/>
    </row>
    <row r="264" spans="4:4" x14ac:dyDescent="0.45">
      <c r="D264" s="47"/>
    </row>
    <row r="265" spans="4:4" x14ac:dyDescent="0.45">
      <c r="D265" s="47"/>
    </row>
    <row r="266" spans="4:4" x14ac:dyDescent="0.45">
      <c r="D266" s="47"/>
    </row>
    <row r="267" spans="4:4" x14ac:dyDescent="0.45">
      <c r="D267" s="47"/>
    </row>
    <row r="268" spans="4:4" x14ac:dyDescent="0.45">
      <c r="D268" s="47"/>
    </row>
    <row r="269" spans="4:4" x14ac:dyDescent="0.45">
      <c r="D269" s="47"/>
    </row>
    <row r="270" spans="4:4" x14ac:dyDescent="0.45">
      <c r="D270" s="47"/>
    </row>
    <row r="271" spans="4:4" x14ac:dyDescent="0.45">
      <c r="D271" s="47"/>
    </row>
    <row r="272" spans="4:4" x14ac:dyDescent="0.45">
      <c r="D272" s="47"/>
    </row>
    <row r="273" spans="4:4" x14ac:dyDescent="0.45">
      <c r="D273" s="47"/>
    </row>
    <row r="274" spans="4:4" x14ac:dyDescent="0.45">
      <c r="D274" s="47"/>
    </row>
    <row r="275" spans="4:4" x14ac:dyDescent="0.45">
      <c r="D275" s="47"/>
    </row>
    <row r="276" spans="4:4" x14ac:dyDescent="0.45">
      <c r="D276" s="47"/>
    </row>
    <row r="277" spans="4:4" x14ac:dyDescent="0.45">
      <c r="D277" s="47"/>
    </row>
    <row r="278" spans="4:4" x14ac:dyDescent="0.45">
      <c r="D278" s="47"/>
    </row>
    <row r="279" spans="4:4" x14ac:dyDescent="0.45">
      <c r="D279" s="47"/>
    </row>
    <row r="280" spans="4:4" x14ac:dyDescent="0.45">
      <c r="D280" s="47"/>
    </row>
    <row r="281" spans="4:4" x14ac:dyDescent="0.45">
      <c r="D281" s="47"/>
    </row>
    <row r="282" spans="4:4" x14ac:dyDescent="0.45">
      <c r="D282" s="47"/>
    </row>
    <row r="283" spans="4:4" x14ac:dyDescent="0.45">
      <c r="D283" s="47"/>
    </row>
    <row r="284" spans="4:4" x14ac:dyDescent="0.45">
      <c r="D284" s="47"/>
    </row>
    <row r="285" spans="4:4" x14ac:dyDescent="0.45">
      <c r="D285" s="47"/>
    </row>
    <row r="286" spans="4:4" x14ac:dyDescent="0.45">
      <c r="D286" s="47"/>
    </row>
    <row r="287" spans="4:4" x14ac:dyDescent="0.45">
      <c r="D287" s="47"/>
    </row>
    <row r="288" spans="4:4" x14ac:dyDescent="0.45">
      <c r="D288" s="47"/>
    </row>
    <row r="289" spans="4:4" x14ac:dyDescent="0.45">
      <c r="D289" s="47"/>
    </row>
    <row r="290" spans="4:4" x14ac:dyDescent="0.45">
      <c r="D290" s="47"/>
    </row>
    <row r="291" spans="4:4" x14ac:dyDescent="0.45">
      <c r="D291" s="47"/>
    </row>
    <row r="292" spans="4:4" x14ac:dyDescent="0.45">
      <c r="D292" s="47"/>
    </row>
    <row r="293" spans="4:4" x14ac:dyDescent="0.45">
      <c r="D293" s="47"/>
    </row>
    <row r="294" spans="4:4" x14ac:dyDescent="0.45">
      <c r="D294" s="47"/>
    </row>
    <row r="295" spans="4:4" x14ac:dyDescent="0.45">
      <c r="D295" s="47"/>
    </row>
    <row r="296" spans="4:4" x14ac:dyDescent="0.45">
      <c r="D296" s="47"/>
    </row>
    <row r="297" spans="4:4" x14ac:dyDescent="0.45">
      <c r="D297" s="47"/>
    </row>
    <row r="298" spans="4:4" x14ac:dyDescent="0.45">
      <c r="D298" s="47"/>
    </row>
    <row r="299" spans="4:4" x14ac:dyDescent="0.45">
      <c r="D299" s="47"/>
    </row>
    <row r="300" spans="4:4" x14ac:dyDescent="0.45">
      <c r="D300" s="47"/>
    </row>
    <row r="301" spans="4:4" x14ac:dyDescent="0.45">
      <c r="D301" s="47"/>
    </row>
    <row r="302" spans="4:4" x14ac:dyDescent="0.45">
      <c r="D302" s="47"/>
    </row>
    <row r="303" spans="4:4" x14ac:dyDescent="0.45">
      <c r="D303" s="47"/>
    </row>
    <row r="304" spans="4:4" x14ac:dyDescent="0.45">
      <c r="D304" s="47"/>
    </row>
    <row r="305" spans="4:4" x14ac:dyDescent="0.45">
      <c r="D305" s="47"/>
    </row>
    <row r="306" spans="4:4" x14ac:dyDescent="0.45">
      <c r="D306" s="47"/>
    </row>
    <row r="307" spans="4:4" x14ac:dyDescent="0.45">
      <c r="D307" s="47"/>
    </row>
    <row r="308" spans="4:4" x14ac:dyDescent="0.45">
      <c r="D308" s="47"/>
    </row>
    <row r="309" spans="4:4" x14ac:dyDescent="0.45">
      <c r="D309" s="47"/>
    </row>
    <row r="310" spans="4:4" x14ac:dyDescent="0.45">
      <c r="D310" s="47"/>
    </row>
    <row r="311" spans="4:4" x14ac:dyDescent="0.45">
      <c r="D311" s="47"/>
    </row>
    <row r="312" spans="4:4" x14ac:dyDescent="0.45">
      <c r="D312" s="47"/>
    </row>
    <row r="313" spans="4:4" x14ac:dyDescent="0.45">
      <c r="D313" s="47"/>
    </row>
    <row r="314" spans="4:4" x14ac:dyDescent="0.45">
      <c r="D314" s="47"/>
    </row>
    <row r="315" spans="4:4" x14ac:dyDescent="0.45">
      <c r="D315" s="47"/>
    </row>
    <row r="316" spans="4:4" x14ac:dyDescent="0.45">
      <c r="D316" s="47"/>
    </row>
    <row r="317" spans="4:4" x14ac:dyDescent="0.45">
      <c r="D317" s="47"/>
    </row>
    <row r="318" spans="4:4" x14ac:dyDescent="0.45">
      <c r="D318" s="47"/>
    </row>
    <row r="319" spans="4:4" x14ac:dyDescent="0.45">
      <c r="D319" s="47"/>
    </row>
    <row r="320" spans="4:4" x14ac:dyDescent="0.45">
      <c r="D320" s="47"/>
    </row>
    <row r="321" spans="4:4" x14ac:dyDescent="0.45">
      <c r="D321" s="47"/>
    </row>
    <row r="322" spans="4:4" x14ac:dyDescent="0.45">
      <c r="D322" s="47"/>
    </row>
    <row r="323" spans="4:4" x14ac:dyDescent="0.45">
      <c r="D323" s="47"/>
    </row>
    <row r="324" spans="4:4" x14ac:dyDescent="0.45">
      <c r="D324" s="47"/>
    </row>
    <row r="325" spans="4:4" x14ac:dyDescent="0.45">
      <c r="D325" s="47"/>
    </row>
    <row r="326" spans="4:4" x14ac:dyDescent="0.45">
      <c r="D326" s="47"/>
    </row>
    <row r="327" spans="4:4" x14ac:dyDescent="0.45">
      <c r="D327" s="47"/>
    </row>
    <row r="328" spans="4:4" x14ac:dyDescent="0.45">
      <c r="D328" s="47"/>
    </row>
    <row r="329" spans="4:4" x14ac:dyDescent="0.45">
      <c r="D329" s="47"/>
    </row>
    <row r="330" spans="4:4" x14ac:dyDescent="0.45">
      <c r="D330" s="47"/>
    </row>
    <row r="331" spans="4:4" x14ac:dyDescent="0.45">
      <c r="D331" s="47"/>
    </row>
    <row r="332" spans="4:4" x14ac:dyDescent="0.45">
      <c r="D332" s="47"/>
    </row>
    <row r="333" spans="4:4" x14ac:dyDescent="0.45">
      <c r="D333" s="47"/>
    </row>
    <row r="334" spans="4:4" x14ac:dyDescent="0.45">
      <c r="D334" s="47"/>
    </row>
    <row r="335" spans="4:4" x14ac:dyDescent="0.45">
      <c r="D335" s="47"/>
    </row>
    <row r="336" spans="4:4" x14ac:dyDescent="0.45">
      <c r="D336" s="47"/>
    </row>
    <row r="337" spans="4:4" x14ac:dyDescent="0.45">
      <c r="D337" s="47"/>
    </row>
    <row r="338" spans="4:4" x14ac:dyDescent="0.45">
      <c r="D338" s="47"/>
    </row>
    <row r="339" spans="4:4" x14ac:dyDescent="0.45">
      <c r="D339" s="47"/>
    </row>
    <row r="340" spans="4:4" x14ac:dyDescent="0.45">
      <c r="D340" s="47"/>
    </row>
    <row r="341" spans="4:4" x14ac:dyDescent="0.45">
      <c r="D341" s="47"/>
    </row>
    <row r="342" spans="4:4" x14ac:dyDescent="0.45">
      <c r="D342" s="47"/>
    </row>
    <row r="343" spans="4:4" x14ac:dyDescent="0.45">
      <c r="D343" s="47"/>
    </row>
    <row r="344" spans="4:4" x14ac:dyDescent="0.45">
      <c r="D344" s="47"/>
    </row>
    <row r="345" spans="4:4" x14ac:dyDescent="0.45">
      <c r="D345" s="47"/>
    </row>
    <row r="346" spans="4:4" x14ac:dyDescent="0.45">
      <c r="D346" s="47"/>
    </row>
    <row r="347" spans="4:4" x14ac:dyDescent="0.45">
      <c r="D347" s="47"/>
    </row>
    <row r="348" spans="4:4" x14ac:dyDescent="0.45">
      <c r="D348" s="47"/>
    </row>
    <row r="349" spans="4:4" x14ac:dyDescent="0.45">
      <c r="D349" s="47"/>
    </row>
    <row r="350" spans="4:4" x14ac:dyDescent="0.45">
      <c r="D350" s="47"/>
    </row>
    <row r="351" spans="4:4" x14ac:dyDescent="0.45">
      <c r="D351" s="47"/>
    </row>
    <row r="352" spans="4:4" x14ac:dyDescent="0.45">
      <c r="D352" s="47"/>
    </row>
    <row r="353" spans="4:4" x14ac:dyDescent="0.45">
      <c r="D353" s="47"/>
    </row>
    <row r="354" spans="4:4" x14ac:dyDescent="0.45">
      <c r="D354" s="47"/>
    </row>
    <row r="355" spans="4:4" x14ac:dyDescent="0.45">
      <c r="D355" s="47"/>
    </row>
    <row r="356" spans="4:4" x14ac:dyDescent="0.45">
      <c r="D356" s="47"/>
    </row>
    <row r="357" spans="4:4" x14ac:dyDescent="0.45">
      <c r="D357" s="47"/>
    </row>
    <row r="358" spans="4:4" x14ac:dyDescent="0.45">
      <c r="D358" s="47"/>
    </row>
    <row r="359" spans="4:4" x14ac:dyDescent="0.45">
      <c r="D359" s="47"/>
    </row>
    <row r="360" spans="4:4" x14ac:dyDescent="0.45">
      <c r="D360" s="47"/>
    </row>
    <row r="361" spans="4:4" x14ac:dyDescent="0.45">
      <c r="D361" s="47"/>
    </row>
    <row r="362" spans="4:4" x14ac:dyDescent="0.45">
      <c r="D362" s="47"/>
    </row>
    <row r="363" spans="4:4" x14ac:dyDescent="0.45">
      <c r="D363" s="47"/>
    </row>
    <row r="364" spans="4:4" x14ac:dyDescent="0.45">
      <c r="D364" s="47"/>
    </row>
    <row r="365" spans="4:4" x14ac:dyDescent="0.45">
      <c r="D365" s="47"/>
    </row>
    <row r="366" spans="4:4" x14ac:dyDescent="0.45">
      <c r="D366" s="47"/>
    </row>
    <row r="367" spans="4:4" x14ac:dyDescent="0.45">
      <c r="D367" s="47"/>
    </row>
    <row r="368" spans="4:4" x14ac:dyDescent="0.45">
      <c r="D368" s="47"/>
    </row>
    <row r="369" spans="4:4" x14ac:dyDescent="0.45">
      <c r="D369" s="47"/>
    </row>
    <row r="370" spans="4:4" x14ac:dyDescent="0.45">
      <c r="D370" s="47"/>
    </row>
    <row r="371" spans="4:4" x14ac:dyDescent="0.45">
      <c r="D371" s="47"/>
    </row>
    <row r="372" spans="4:4" x14ac:dyDescent="0.45">
      <c r="D372" s="47"/>
    </row>
    <row r="373" spans="4:4" x14ac:dyDescent="0.45">
      <c r="D373" s="47"/>
    </row>
    <row r="374" spans="4:4" x14ac:dyDescent="0.45">
      <c r="D374" s="47"/>
    </row>
    <row r="375" spans="4:4" x14ac:dyDescent="0.45">
      <c r="D375" s="47"/>
    </row>
    <row r="376" spans="4:4" x14ac:dyDescent="0.45">
      <c r="D376" s="47"/>
    </row>
    <row r="377" spans="4:4" x14ac:dyDescent="0.45">
      <c r="D377" s="47"/>
    </row>
    <row r="378" spans="4:4" x14ac:dyDescent="0.45">
      <c r="D378" s="47"/>
    </row>
    <row r="379" spans="4:4" x14ac:dyDescent="0.45">
      <c r="D379" s="47"/>
    </row>
    <row r="380" spans="4:4" x14ac:dyDescent="0.45">
      <c r="D380" s="47"/>
    </row>
    <row r="381" spans="4:4" x14ac:dyDescent="0.45">
      <c r="D381" s="47"/>
    </row>
    <row r="382" spans="4:4" x14ac:dyDescent="0.45">
      <c r="D382" s="47"/>
    </row>
    <row r="383" spans="4:4" x14ac:dyDescent="0.45">
      <c r="D383" s="47"/>
    </row>
    <row r="384" spans="4:4" x14ac:dyDescent="0.45">
      <c r="D384" s="47"/>
    </row>
    <row r="385" spans="4:4" x14ac:dyDescent="0.45">
      <c r="D385" s="47"/>
    </row>
    <row r="386" spans="4:4" x14ac:dyDescent="0.45">
      <c r="D386" s="47"/>
    </row>
    <row r="387" spans="4:4" x14ac:dyDescent="0.45">
      <c r="D387" s="47"/>
    </row>
    <row r="388" spans="4:4" x14ac:dyDescent="0.45">
      <c r="D388" s="47"/>
    </row>
    <row r="389" spans="4:4" x14ac:dyDescent="0.45">
      <c r="D389" s="47"/>
    </row>
    <row r="390" spans="4:4" x14ac:dyDescent="0.45">
      <c r="D390" s="47"/>
    </row>
    <row r="391" spans="4:4" x14ac:dyDescent="0.45">
      <c r="D391" s="47"/>
    </row>
    <row r="392" spans="4:4" x14ac:dyDescent="0.45">
      <c r="D392" s="47"/>
    </row>
    <row r="393" spans="4:4" x14ac:dyDescent="0.45">
      <c r="D393" s="47"/>
    </row>
    <row r="394" spans="4:4" x14ac:dyDescent="0.45">
      <c r="D394" s="47"/>
    </row>
    <row r="395" spans="4:4" x14ac:dyDescent="0.45">
      <c r="D395" s="47"/>
    </row>
    <row r="396" spans="4:4" x14ac:dyDescent="0.45">
      <c r="D396" s="47"/>
    </row>
    <row r="397" spans="4:4" x14ac:dyDescent="0.45">
      <c r="D397" s="47"/>
    </row>
    <row r="398" spans="4:4" x14ac:dyDescent="0.45">
      <c r="D398" s="47"/>
    </row>
    <row r="399" spans="4:4" x14ac:dyDescent="0.45">
      <c r="D399" s="47"/>
    </row>
    <row r="400" spans="4:4" x14ac:dyDescent="0.45">
      <c r="D400" s="47"/>
    </row>
    <row r="401" spans="4:4" x14ac:dyDescent="0.45">
      <c r="D401" s="47"/>
    </row>
    <row r="402" spans="4:4" x14ac:dyDescent="0.45">
      <c r="D402" s="47"/>
    </row>
    <row r="403" spans="4:4" x14ac:dyDescent="0.45">
      <c r="D403" s="47"/>
    </row>
    <row r="404" spans="4:4" x14ac:dyDescent="0.45">
      <c r="D404" s="47"/>
    </row>
    <row r="405" spans="4:4" x14ac:dyDescent="0.45">
      <c r="D405" s="47"/>
    </row>
    <row r="406" spans="4:4" x14ac:dyDescent="0.45">
      <c r="D406" s="47"/>
    </row>
    <row r="407" spans="4:4" x14ac:dyDescent="0.45">
      <c r="D407" s="47"/>
    </row>
    <row r="408" spans="4:4" x14ac:dyDescent="0.45">
      <c r="D408" s="47"/>
    </row>
    <row r="409" spans="4:4" x14ac:dyDescent="0.45">
      <c r="D409" s="47"/>
    </row>
    <row r="410" spans="4:4" x14ac:dyDescent="0.45">
      <c r="D410" s="47"/>
    </row>
    <row r="411" spans="4:4" x14ac:dyDescent="0.45">
      <c r="D411" s="47"/>
    </row>
    <row r="412" spans="4:4" x14ac:dyDescent="0.45">
      <c r="D412" s="47"/>
    </row>
    <row r="413" spans="4:4" x14ac:dyDescent="0.45">
      <c r="D413" s="47"/>
    </row>
    <row r="414" spans="4:4" x14ac:dyDescent="0.45">
      <c r="D414" s="47"/>
    </row>
    <row r="415" spans="4:4" x14ac:dyDescent="0.45">
      <c r="D415" s="47"/>
    </row>
    <row r="416" spans="4:4" x14ac:dyDescent="0.45">
      <c r="D416" s="47"/>
    </row>
    <row r="417" spans="4:4" x14ac:dyDescent="0.45">
      <c r="D417" s="47"/>
    </row>
    <row r="418" spans="4:4" x14ac:dyDescent="0.45">
      <c r="D418" s="47"/>
    </row>
    <row r="419" spans="4:4" x14ac:dyDescent="0.45">
      <c r="D419" s="47"/>
    </row>
    <row r="420" spans="4:4" x14ac:dyDescent="0.45">
      <c r="D420" s="47"/>
    </row>
    <row r="421" spans="4:4" x14ac:dyDescent="0.45">
      <c r="D421" s="47"/>
    </row>
    <row r="422" spans="4:4" x14ac:dyDescent="0.45">
      <c r="D422" s="47"/>
    </row>
    <row r="423" spans="4:4" x14ac:dyDescent="0.45">
      <c r="D423" s="47"/>
    </row>
    <row r="424" spans="4:4" x14ac:dyDescent="0.45">
      <c r="D424" s="47"/>
    </row>
    <row r="425" spans="4:4" x14ac:dyDescent="0.45">
      <c r="D425" s="47"/>
    </row>
    <row r="426" spans="4:4" x14ac:dyDescent="0.45">
      <c r="D426" s="47"/>
    </row>
    <row r="427" spans="4:4" x14ac:dyDescent="0.45">
      <c r="D427" s="47"/>
    </row>
    <row r="428" spans="4:4" x14ac:dyDescent="0.45">
      <c r="D428" s="47"/>
    </row>
    <row r="429" spans="4:4" x14ac:dyDescent="0.45">
      <c r="D429" s="47"/>
    </row>
    <row r="430" spans="4:4" x14ac:dyDescent="0.45">
      <c r="D430" s="47"/>
    </row>
    <row r="431" spans="4:4" x14ac:dyDescent="0.45">
      <c r="D431" s="47"/>
    </row>
    <row r="432" spans="4:4" x14ac:dyDescent="0.45">
      <c r="D432" s="47"/>
    </row>
    <row r="433" spans="4:4" x14ac:dyDescent="0.45">
      <c r="D433" s="47"/>
    </row>
    <row r="434" spans="4:4" x14ac:dyDescent="0.45">
      <c r="D434" s="47"/>
    </row>
    <row r="435" spans="4:4" x14ac:dyDescent="0.45">
      <c r="D435" s="47"/>
    </row>
    <row r="436" spans="4:4" x14ac:dyDescent="0.45">
      <c r="D436" s="47"/>
    </row>
    <row r="437" spans="4:4" x14ac:dyDescent="0.45">
      <c r="D437" s="47"/>
    </row>
    <row r="438" spans="4:4" x14ac:dyDescent="0.45">
      <c r="D438" s="47"/>
    </row>
    <row r="439" spans="4:4" x14ac:dyDescent="0.45">
      <c r="D439" s="47"/>
    </row>
    <row r="440" spans="4:4" x14ac:dyDescent="0.45">
      <c r="D440" s="47"/>
    </row>
    <row r="441" spans="4:4" x14ac:dyDescent="0.45">
      <c r="D441" s="47"/>
    </row>
    <row r="442" spans="4:4" x14ac:dyDescent="0.45">
      <c r="D442" s="47"/>
    </row>
    <row r="443" spans="4:4" x14ac:dyDescent="0.45">
      <c r="D443" s="47"/>
    </row>
    <row r="444" spans="4:4" x14ac:dyDescent="0.45">
      <c r="D444" s="47"/>
    </row>
    <row r="445" spans="4:4" x14ac:dyDescent="0.45">
      <c r="D445" s="47"/>
    </row>
    <row r="446" spans="4:4" x14ac:dyDescent="0.45">
      <c r="D446" s="47"/>
    </row>
    <row r="447" spans="4:4" x14ac:dyDescent="0.45">
      <c r="D447" s="47"/>
    </row>
    <row r="448" spans="4:4" x14ac:dyDescent="0.45">
      <c r="D448" s="47"/>
    </row>
    <row r="449" spans="4:4" x14ac:dyDescent="0.45">
      <c r="D449" s="47"/>
    </row>
    <row r="450" spans="4:4" x14ac:dyDescent="0.45">
      <c r="D450" s="47"/>
    </row>
    <row r="451" spans="4:4" x14ac:dyDescent="0.45">
      <c r="D451" s="47"/>
    </row>
    <row r="452" spans="4:4" x14ac:dyDescent="0.45">
      <c r="D452" s="47"/>
    </row>
    <row r="453" spans="4:4" x14ac:dyDescent="0.45">
      <c r="D453" s="47"/>
    </row>
    <row r="454" spans="4:4" x14ac:dyDescent="0.45">
      <c r="D454" s="47"/>
    </row>
    <row r="455" spans="4:4" x14ac:dyDescent="0.45">
      <c r="D455" s="47"/>
    </row>
    <row r="456" spans="4:4" x14ac:dyDescent="0.45">
      <c r="D456" s="47"/>
    </row>
    <row r="457" spans="4:4" x14ac:dyDescent="0.45">
      <c r="D457" s="47"/>
    </row>
    <row r="458" spans="4:4" x14ac:dyDescent="0.45">
      <c r="D458" s="47"/>
    </row>
    <row r="459" spans="4:4" x14ac:dyDescent="0.45">
      <c r="D459" s="47"/>
    </row>
    <row r="460" spans="4:4" x14ac:dyDescent="0.45">
      <c r="D460" s="47"/>
    </row>
    <row r="461" spans="4:4" x14ac:dyDescent="0.45">
      <c r="D461" s="47"/>
    </row>
    <row r="462" spans="4:4" x14ac:dyDescent="0.45">
      <c r="D462" s="47"/>
    </row>
    <row r="463" spans="4:4" x14ac:dyDescent="0.45">
      <c r="D463" s="47"/>
    </row>
    <row r="464" spans="4:4" x14ac:dyDescent="0.45">
      <c r="D464" s="47"/>
    </row>
    <row r="465" spans="4:4" x14ac:dyDescent="0.45">
      <c r="D465" s="47"/>
    </row>
    <row r="466" spans="4:4" x14ac:dyDescent="0.45">
      <c r="D466" s="47"/>
    </row>
    <row r="467" spans="4:4" x14ac:dyDescent="0.45">
      <c r="D467" s="47"/>
    </row>
    <row r="468" spans="4:4" x14ac:dyDescent="0.45">
      <c r="D468" s="47"/>
    </row>
    <row r="469" spans="4:4" x14ac:dyDescent="0.45">
      <c r="D469" s="47"/>
    </row>
    <row r="470" spans="4:4" x14ac:dyDescent="0.45">
      <c r="D470" s="47"/>
    </row>
    <row r="471" spans="4:4" x14ac:dyDescent="0.45">
      <c r="D471" s="47"/>
    </row>
    <row r="472" spans="4:4" x14ac:dyDescent="0.45">
      <c r="D472" s="47"/>
    </row>
    <row r="473" spans="4:4" x14ac:dyDescent="0.45">
      <c r="D473" s="47"/>
    </row>
    <row r="474" spans="4:4" x14ac:dyDescent="0.45">
      <c r="D474" s="47"/>
    </row>
    <row r="475" spans="4:4" x14ac:dyDescent="0.45">
      <c r="D475" s="47"/>
    </row>
    <row r="476" spans="4:4" x14ac:dyDescent="0.45">
      <c r="D476" s="47"/>
    </row>
    <row r="477" spans="4:4" x14ac:dyDescent="0.45">
      <c r="D477" s="47"/>
    </row>
    <row r="478" spans="4:4" x14ac:dyDescent="0.45">
      <c r="D478" s="47"/>
    </row>
    <row r="479" spans="4:4" x14ac:dyDescent="0.45">
      <c r="D479" s="47"/>
    </row>
    <row r="480" spans="4:4" x14ac:dyDescent="0.45">
      <c r="D480" s="47"/>
    </row>
    <row r="481" spans="4:4" x14ac:dyDescent="0.45">
      <c r="D481" s="47"/>
    </row>
    <row r="482" spans="4:4" x14ac:dyDescent="0.45">
      <c r="D482" s="47"/>
    </row>
    <row r="483" spans="4:4" x14ac:dyDescent="0.45">
      <c r="D483" s="47"/>
    </row>
    <row r="484" spans="4:4" x14ac:dyDescent="0.45">
      <c r="D484" s="47"/>
    </row>
    <row r="485" spans="4:4" x14ac:dyDescent="0.45">
      <c r="D485" s="47"/>
    </row>
    <row r="486" spans="4:4" x14ac:dyDescent="0.45">
      <c r="D486" s="47"/>
    </row>
    <row r="487" spans="4:4" x14ac:dyDescent="0.45">
      <c r="D487" s="47"/>
    </row>
    <row r="488" spans="4:4" x14ac:dyDescent="0.45">
      <c r="D488" s="47"/>
    </row>
    <row r="489" spans="4:4" x14ac:dyDescent="0.45">
      <c r="D489" s="47"/>
    </row>
    <row r="490" spans="4:4" x14ac:dyDescent="0.45">
      <c r="D490" s="47"/>
    </row>
    <row r="491" spans="4:4" x14ac:dyDescent="0.45">
      <c r="D491" s="47"/>
    </row>
    <row r="492" spans="4:4" x14ac:dyDescent="0.45">
      <c r="D492" s="47"/>
    </row>
    <row r="493" spans="4:4" x14ac:dyDescent="0.45">
      <c r="D493" s="47"/>
    </row>
    <row r="494" spans="4:4" x14ac:dyDescent="0.45">
      <c r="D494" s="47"/>
    </row>
    <row r="495" spans="4:4" x14ac:dyDescent="0.45">
      <c r="D495" s="47"/>
    </row>
    <row r="496" spans="4:4" x14ac:dyDescent="0.45">
      <c r="D496" s="47"/>
    </row>
    <row r="497" spans="4:4" x14ac:dyDescent="0.45">
      <c r="D497" s="47"/>
    </row>
    <row r="498" spans="4:4" x14ac:dyDescent="0.45">
      <c r="D498" s="47"/>
    </row>
    <row r="499" spans="4:4" x14ac:dyDescent="0.45">
      <c r="D499" s="47"/>
    </row>
    <row r="500" spans="4:4" x14ac:dyDescent="0.45">
      <c r="D500" s="47"/>
    </row>
    <row r="501" spans="4:4" x14ac:dyDescent="0.45">
      <c r="D501" s="47"/>
    </row>
    <row r="502" spans="4:4" x14ac:dyDescent="0.45">
      <c r="D502" s="47"/>
    </row>
    <row r="503" spans="4:4" x14ac:dyDescent="0.45">
      <c r="D503" s="47"/>
    </row>
    <row r="504" spans="4:4" x14ac:dyDescent="0.45">
      <c r="D504" s="47"/>
    </row>
    <row r="505" spans="4:4" x14ac:dyDescent="0.45">
      <c r="D505" s="47"/>
    </row>
    <row r="506" spans="4:4" x14ac:dyDescent="0.45">
      <c r="D506" s="47"/>
    </row>
    <row r="507" spans="4:4" x14ac:dyDescent="0.45">
      <c r="D507" s="47"/>
    </row>
    <row r="508" spans="4:4" x14ac:dyDescent="0.45">
      <c r="D508" s="47"/>
    </row>
    <row r="509" spans="4:4" x14ac:dyDescent="0.45">
      <c r="D509" s="47"/>
    </row>
    <row r="510" spans="4:4" x14ac:dyDescent="0.45">
      <c r="D510" s="47"/>
    </row>
    <row r="511" spans="4:4" x14ac:dyDescent="0.45">
      <c r="D511" s="47"/>
    </row>
    <row r="512" spans="4:4" x14ac:dyDescent="0.45">
      <c r="D512" s="47"/>
    </row>
    <row r="513" spans="4:4" x14ac:dyDescent="0.45">
      <c r="D513" s="47"/>
    </row>
    <row r="514" spans="4:4" x14ac:dyDescent="0.45">
      <c r="D514" s="47"/>
    </row>
    <row r="515" spans="4:4" x14ac:dyDescent="0.45">
      <c r="D515" s="47"/>
    </row>
    <row r="516" spans="4:4" x14ac:dyDescent="0.45">
      <c r="D516" s="47"/>
    </row>
    <row r="517" spans="4:4" x14ac:dyDescent="0.45">
      <c r="D517" s="47"/>
    </row>
    <row r="518" spans="4:4" x14ac:dyDescent="0.45">
      <c r="D518" s="47"/>
    </row>
    <row r="519" spans="4:4" x14ac:dyDescent="0.45">
      <c r="D519" s="47"/>
    </row>
    <row r="520" spans="4:4" x14ac:dyDescent="0.45">
      <c r="D520" s="47"/>
    </row>
    <row r="521" spans="4:4" x14ac:dyDescent="0.45">
      <c r="D521" s="47"/>
    </row>
    <row r="522" spans="4:4" x14ac:dyDescent="0.45">
      <c r="D522" s="47"/>
    </row>
    <row r="523" spans="4:4" x14ac:dyDescent="0.45">
      <c r="D523" s="47"/>
    </row>
    <row r="524" spans="4:4" x14ac:dyDescent="0.45">
      <c r="D524" s="47"/>
    </row>
    <row r="525" spans="4:4" x14ac:dyDescent="0.45">
      <c r="D525" s="47"/>
    </row>
    <row r="526" spans="4:4" x14ac:dyDescent="0.45">
      <c r="D526" s="47"/>
    </row>
    <row r="527" spans="4:4" x14ac:dyDescent="0.45">
      <c r="D527" s="47"/>
    </row>
    <row r="528" spans="4:4" x14ac:dyDescent="0.45">
      <c r="D528" s="47"/>
    </row>
    <row r="529" spans="4:4" x14ac:dyDescent="0.45">
      <c r="D529" s="47"/>
    </row>
    <row r="530" spans="4:4" x14ac:dyDescent="0.45">
      <c r="D530" s="47"/>
    </row>
    <row r="531" spans="4:4" x14ac:dyDescent="0.45">
      <c r="D531" s="47"/>
    </row>
    <row r="532" spans="4:4" x14ac:dyDescent="0.45">
      <c r="D532" s="47"/>
    </row>
    <row r="533" spans="4:4" x14ac:dyDescent="0.45">
      <c r="D533" s="47"/>
    </row>
    <row r="534" spans="4:4" x14ac:dyDescent="0.45">
      <c r="D534" s="47"/>
    </row>
    <row r="535" spans="4:4" x14ac:dyDescent="0.45">
      <c r="D535" s="47"/>
    </row>
    <row r="536" spans="4:4" x14ac:dyDescent="0.45">
      <c r="D536" s="47"/>
    </row>
    <row r="537" spans="4:4" x14ac:dyDescent="0.45">
      <c r="D537" s="47"/>
    </row>
    <row r="538" spans="4:4" x14ac:dyDescent="0.45">
      <c r="D538" s="47"/>
    </row>
    <row r="539" spans="4:4" x14ac:dyDescent="0.45">
      <c r="D539" s="47"/>
    </row>
    <row r="540" spans="4:4" x14ac:dyDescent="0.45">
      <c r="D540" s="47"/>
    </row>
    <row r="541" spans="4:4" x14ac:dyDescent="0.45">
      <c r="D541" s="47"/>
    </row>
    <row r="542" spans="4:4" x14ac:dyDescent="0.45">
      <c r="D542" s="47"/>
    </row>
    <row r="543" spans="4:4" x14ac:dyDescent="0.45">
      <c r="D543" s="47"/>
    </row>
    <row r="544" spans="4:4" x14ac:dyDescent="0.45">
      <c r="D544" s="47"/>
    </row>
    <row r="545" spans="4:4" x14ac:dyDescent="0.45">
      <c r="D545" s="47"/>
    </row>
    <row r="546" spans="4:4" x14ac:dyDescent="0.45">
      <c r="D546" s="47"/>
    </row>
    <row r="547" spans="4:4" x14ac:dyDescent="0.45">
      <c r="D547" s="47"/>
    </row>
    <row r="548" spans="4:4" x14ac:dyDescent="0.45">
      <c r="D548" s="47"/>
    </row>
    <row r="549" spans="4:4" x14ac:dyDescent="0.45">
      <c r="D549" s="47"/>
    </row>
    <row r="550" spans="4:4" x14ac:dyDescent="0.45">
      <c r="D550" s="47"/>
    </row>
    <row r="551" spans="4:4" x14ac:dyDescent="0.45">
      <c r="D551" s="47"/>
    </row>
    <row r="552" spans="4:4" x14ac:dyDescent="0.45">
      <c r="D552" s="47"/>
    </row>
    <row r="553" spans="4:4" x14ac:dyDescent="0.45">
      <c r="D553" s="47"/>
    </row>
    <row r="554" spans="4:4" x14ac:dyDescent="0.45">
      <c r="D554" s="47"/>
    </row>
    <row r="555" spans="4:4" x14ac:dyDescent="0.45">
      <c r="D555" s="47"/>
    </row>
    <row r="556" spans="4:4" x14ac:dyDescent="0.45">
      <c r="D556" s="47"/>
    </row>
    <row r="557" spans="4:4" x14ac:dyDescent="0.45">
      <c r="D557" s="47"/>
    </row>
    <row r="558" spans="4:4" x14ac:dyDescent="0.45">
      <c r="D558" s="47"/>
    </row>
    <row r="559" spans="4:4" x14ac:dyDescent="0.45">
      <c r="D559" s="47"/>
    </row>
    <row r="560" spans="4:4" x14ac:dyDescent="0.45">
      <c r="D560" s="47"/>
    </row>
    <row r="561" spans="4:4" x14ac:dyDescent="0.45">
      <c r="D561" s="47"/>
    </row>
    <row r="562" spans="4:4" x14ac:dyDescent="0.45">
      <c r="D562" s="47"/>
    </row>
    <row r="563" spans="4:4" x14ac:dyDescent="0.45">
      <c r="D563" s="47"/>
    </row>
    <row r="564" spans="4:4" x14ac:dyDescent="0.45">
      <c r="D564" s="47"/>
    </row>
    <row r="565" spans="4:4" x14ac:dyDescent="0.45">
      <c r="D565" s="47"/>
    </row>
    <row r="566" spans="4:4" x14ac:dyDescent="0.45">
      <c r="D566" s="47"/>
    </row>
    <row r="567" spans="4:4" x14ac:dyDescent="0.45">
      <c r="D567" s="47"/>
    </row>
    <row r="568" spans="4:4" x14ac:dyDescent="0.45">
      <c r="D568" s="47"/>
    </row>
    <row r="569" spans="4:4" x14ac:dyDescent="0.45">
      <c r="D569" s="47"/>
    </row>
    <row r="570" spans="4:4" x14ac:dyDescent="0.45">
      <c r="D570" s="47"/>
    </row>
    <row r="571" spans="4:4" x14ac:dyDescent="0.45">
      <c r="D571" s="47"/>
    </row>
    <row r="572" spans="4:4" x14ac:dyDescent="0.45">
      <c r="D572" s="47"/>
    </row>
    <row r="573" spans="4:4" x14ac:dyDescent="0.45">
      <c r="D573" s="47"/>
    </row>
    <row r="574" spans="4:4" x14ac:dyDescent="0.45">
      <c r="D574" s="47"/>
    </row>
    <row r="575" spans="4:4" x14ac:dyDescent="0.45">
      <c r="D575" s="47"/>
    </row>
    <row r="576" spans="4:4" x14ac:dyDescent="0.45">
      <c r="D576" s="47"/>
    </row>
    <row r="577" spans="4:4" x14ac:dyDescent="0.45">
      <c r="D577" s="47"/>
    </row>
    <row r="578" spans="4:4" x14ac:dyDescent="0.45">
      <c r="D578" s="47"/>
    </row>
    <row r="579" spans="4:4" x14ac:dyDescent="0.45">
      <c r="D579" s="47"/>
    </row>
    <row r="580" spans="4:4" x14ac:dyDescent="0.45">
      <c r="D580" s="47"/>
    </row>
    <row r="581" spans="4:4" x14ac:dyDescent="0.45">
      <c r="D581" s="47"/>
    </row>
    <row r="582" spans="4:4" x14ac:dyDescent="0.45">
      <c r="D582" s="47"/>
    </row>
    <row r="583" spans="4:4" x14ac:dyDescent="0.45">
      <c r="D583" s="47"/>
    </row>
    <row r="584" spans="4:4" x14ac:dyDescent="0.45">
      <c r="D584" s="47"/>
    </row>
    <row r="585" spans="4:4" x14ac:dyDescent="0.45">
      <c r="D585" s="47"/>
    </row>
    <row r="586" spans="4:4" x14ac:dyDescent="0.45">
      <c r="D586" s="47"/>
    </row>
    <row r="587" spans="4:4" x14ac:dyDescent="0.45">
      <c r="D587" s="47"/>
    </row>
    <row r="588" spans="4:4" x14ac:dyDescent="0.45">
      <c r="D588" s="47"/>
    </row>
    <row r="589" spans="4:4" x14ac:dyDescent="0.45">
      <c r="D589" s="47"/>
    </row>
    <row r="590" spans="4:4" x14ac:dyDescent="0.45">
      <c r="D590" s="47"/>
    </row>
    <row r="591" spans="4:4" x14ac:dyDescent="0.45">
      <c r="D591" s="47"/>
    </row>
    <row r="592" spans="4:4" x14ac:dyDescent="0.45">
      <c r="D592" s="47"/>
    </row>
    <row r="593" spans="4:4" x14ac:dyDescent="0.45">
      <c r="D593" s="47"/>
    </row>
    <row r="594" spans="4:4" x14ac:dyDescent="0.45">
      <c r="D594" s="47"/>
    </row>
    <row r="595" spans="4:4" x14ac:dyDescent="0.45">
      <c r="D595" s="47"/>
    </row>
    <row r="596" spans="4:4" x14ac:dyDescent="0.45">
      <c r="D596" s="47"/>
    </row>
    <row r="597" spans="4:4" x14ac:dyDescent="0.45">
      <c r="D597" s="47"/>
    </row>
    <row r="598" spans="4:4" x14ac:dyDescent="0.45">
      <c r="D598" s="47"/>
    </row>
    <row r="599" spans="4:4" x14ac:dyDescent="0.45">
      <c r="D599" s="47"/>
    </row>
    <row r="600" spans="4:4" x14ac:dyDescent="0.45">
      <c r="D600" s="47"/>
    </row>
    <row r="601" spans="4:4" x14ac:dyDescent="0.45">
      <c r="D601" s="47"/>
    </row>
    <row r="602" spans="4:4" x14ac:dyDescent="0.45">
      <c r="D602" s="47"/>
    </row>
    <row r="603" spans="4:4" x14ac:dyDescent="0.45">
      <c r="D603" s="47"/>
    </row>
    <row r="604" spans="4:4" x14ac:dyDescent="0.45">
      <c r="D604" s="47"/>
    </row>
    <row r="605" spans="4:4" x14ac:dyDescent="0.45">
      <c r="D605" s="47"/>
    </row>
    <row r="606" spans="4:4" x14ac:dyDescent="0.45">
      <c r="D606" s="47"/>
    </row>
    <row r="607" spans="4:4" x14ac:dyDescent="0.45">
      <c r="D607" s="47"/>
    </row>
    <row r="608" spans="4:4" x14ac:dyDescent="0.45">
      <c r="D608" s="47"/>
    </row>
    <row r="609" spans="4:4" x14ac:dyDescent="0.45">
      <c r="D609" s="47"/>
    </row>
    <row r="610" spans="4:4" x14ac:dyDescent="0.45">
      <c r="D610" s="47"/>
    </row>
    <row r="611" spans="4:4" x14ac:dyDescent="0.45">
      <c r="D611" s="47"/>
    </row>
    <row r="612" spans="4:4" x14ac:dyDescent="0.45">
      <c r="D612" s="47"/>
    </row>
    <row r="613" spans="4:4" x14ac:dyDescent="0.45">
      <c r="D613" s="47"/>
    </row>
    <row r="614" spans="4:4" x14ac:dyDescent="0.45">
      <c r="D614" s="47"/>
    </row>
    <row r="615" spans="4:4" x14ac:dyDescent="0.45">
      <c r="D615" s="47"/>
    </row>
    <row r="616" spans="4:4" x14ac:dyDescent="0.45">
      <c r="D616" s="47"/>
    </row>
    <row r="617" spans="4:4" x14ac:dyDescent="0.45">
      <c r="D617" s="47"/>
    </row>
    <row r="618" spans="4:4" x14ac:dyDescent="0.45">
      <c r="D618" s="47"/>
    </row>
    <row r="619" spans="4:4" x14ac:dyDescent="0.45">
      <c r="D619" s="47"/>
    </row>
    <row r="620" spans="4:4" x14ac:dyDescent="0.45">
      <c r="D620" s="47"/>
    </row>
    <row r="621" spans="4:4" x14ac:dyDescent="0.45">
      <c r="D621" s="47"/>
    </row>
    <row r="622" spans="4:4" x14ac:dyDescent="0.45">
      <c r="D622" s="47"/>
    </row>
    <row r="623" spans="4:4" x14ac:dyDescent="0.45">
      <c r="D623" s="47"/>
    </row>
    <row r="624" spans="4:4" x14ac:dyDescent="0.45">
      <c r="D624" s="47"/>
    </row>
    <row r="625" spans="4:4" x14ac:dyDescent="0.45">
      <c r="D625" s="47"/>
    </row>
    <row r="626" spans="4:4" x14ac:dyDescent="0.45">
      <c r="D626" s="47"/>
    </row>
    <row r="627" spans="4:4" x14ac:dyDescent="0.45">
      <c r="D627" s="47"/>
    </row>
    <row r="628" spans="4:4" x14ac:dyDescent="0.45">
      <c r="D628" s="47"/>
    </row>
    <row r="629" spans="4:4" x14ac:dyDescent="0.45">
      <c r="D629" s="47"/>
    </row>
    <row r="630" spans="4:4" x14ac:dyDescent="0.45">
      <c r="D630" s="47"/>
    </row>
    <row r="631" spans="4:4" x14ac:dyDescent="0.45">
      <c r="D631" s="47"/>
    </row>
    <row r="632" spans="4:4" x14ac:dyDescent="0.45">
      <c r="D632" s="47"/>
    </row>
    <row r="633" spans="4:4" x14ac:dyDescent="0.45">
      <c r="D633" s="47"/>
    </row>
    <row r="634" spans="4:4" x14ac:dyDescent="0.45">
      <c r="D634" s="47"/>
    </row>
    <row r="635" spans="4:4" x14ac:dyDescent="0.45">
      <c r="D635" s="47"/>
    </row>
    <row r="636" spans="4:4" x14ac:dyDescent="0.45">
      <c r="D636" s="47"/>
    </row>
    <row r="637" spans="4:4" x14ac:dyDescent="0.45">
      <c r="D637" s="47"/>
    </row>
    <row r="638" spans="4:4" x14ac:dyDescent="0.45">
      <c r="D638" s="47"/>
    </row>
    <row r="639" spans="4:4" x14ac:dyDescent="0.45">
      <c r="D639" s="47"/>
    </row>
    <row r="640" spans="4:4" x14ac:dyDescent="0.45">
      <c r="D640" s="47"/>
    </row>
    <row r="641" spans="4:4" x14ac:dyDescent="0.45">
      <c r="D641" s="47"/>
    </row>
    <row r="642" spans="4:4" x14ac:dyDescent="0.45">
      <c r="D642" s="47"/>
    </row>
    <row r="643" spans="4:4" x14ac:dyDescent="0.45">
      <c r="D643" s="47"/>
    </row>
    <row r="644" spans="4:4" x14ac:dyDescent="0.45">
      <c r="D644" s="47"/>
    </row>
    <row r="645" spans="4:4" x14ac:dyDescent="0.45">
      <c r="D645" s="47"/>
    </row>
    <row r="646" spans="4:4" x14ac:dyDescent="0.45">
      <c r="D646" s="47"/>
    </row>
    <row r="647" spans="4:4" x14ac:dyDescent="0.45">
      <c r="D647" s="47"/>
    </row>
    <row r="648" spans="4:4" x14ac:dyDescent="0.45">
      <c r="D648" s="47"/>
    </row>
    <row r="649" spans="4:4" x14ac:dyDescent="0.45">
      <c r="D649" s="47"/>
    </row>
    <row r="650" spans="4:4" x14ac:dyDescent="0.45">
      <c r="D650" s="47"/>
    </row>
    <row r="651" spans="4:4" x14ac:dyDescent="0.45">
      <c r="D651" s="47"/>
    </row>
    <row r="652" spans="4:4" x14ac:dyDescent="0.45">
      <c r="D652" s="47"/>
    </row>
    <row r="653" spans="4:4" x14ac:dyDescent="0.45">
      <c r="D653" s="47"/>
    </row>
    <row r="654" spans="4:4" x14ac:dyDescent="0.45">
      <c r="D654" s="47"/>
    </row>
    <row r="655" spans="4:4" x14ac:dyDescent="0.45">
      <c r="D655" s="47"/>
    </row>
    <row r="656" spans="4:4" x14ac:dyDescent="0.45">
      <c r="D656" s="47"/>
    </row>
    <row r="657" spans="4:4" x14ac:dyDescent="0.45">
      <c r="D657" s="47"/>
    </row>
    <row r="658" spans="4:4" x14ac:dyDescent="0.45">
      <c r="D658" s="47"/>
    </row>
    <row r="659" spans="4:4" x14ac:dyDescent="0.45">
      <c r="D659" s="47"/>
    </row>
    <row r="660" spans="4:4" x14ac:dyDescent="0.45">
      <c r="D660" s="47"/>
    </row>
    <row r="661" spans="4:4" x14ac:dyDescent="0.45">
      <c r="D661" s="47"/>
    </row>
    <row r="662" spans="4:4" x14ac:dyDescent="0.45">
      <c r="D662" s="47"/>
    </row>
    <row r="663" spans="4:4" x14ac:dyDescent="0.45">
      <c r="D663" s="47"/>
    </row>
    <row r="664" spans="4:4" x14ac:dyDescent="0.45">
      <c r="D664" s="47"/>
    </row>
    <row r="665" spans="4:4" x14ac:dyDescent="0.45">
      <c r="D665" s="47"/>
    </row>
    <row r="666" spans="4:4" x14ac:dyDescent="0.45">
      <c r="D666" s="47"/>
    </row>
    <row r="667" spans="4:4" x14ac:dyDescent="0.45">
      <c r="D667" s="47"/>
    </row>
    <row r="668" spans="4:4" x14ac:dyDescent="0.45">
      <c r="D668" s="47"/>
    </row>
    <row r="669" spans="4:4" x14ac:dyDescent="0.45">
      <c r="D669" s="47"/>
    </row>
    <row r="670" spans="4:4" x14ac:dyDescent="0.45">
      <c r="D670" s="47"/>
    </row>
    <row r="671" spans="4:4" x14ac:dyDescent="0.45">
      <c r="D671" s="47"/>
    </row>
    <row r="672" spans="4:4" x14ac:dyDescent="0.45">
      <c r="D672" s="47"/>
    </row>
    <row r="673" spans="4:4" x14ac:dyDescent="0.45">
      <c r="D673" s="47"/>
    </row>
    <row r="674" spans="4:4" x14ac:dyDescent="0.45">
      <c r="D674" s="47"/>
    </row>
    <row r="675" spans="4:4" x14ac:dyDescent="0.45">
      <c r="D675" s="47"/>
    </row>
    <row r="676" spans="4:4" x14ac:dyDescent="0.45">
      <c r="D676" s="47"/>
    </row>
    <row r="677" spans="4:4" x14ac:dyDescent="0.45">
      <c r="D677" s="47"/>
    </row>
    <row r="678" spans="4:4" x14ac:dyDescent="0.45">
      <c r="D678" s="47"/>
    </row>
    <row r="679" spans="4:4" x14ac:dyDescent="0.45">
      <c r="D679" s="47"/>
    </row>
    <row r="680" spans="4:4" x14ac:dyDescent="0.45">
      <c r="D680" s="47"/>
    </row>
    <row r="681" spans="4:4" x14ac:dyDescent="0.45">
      <c r="D681" s="47"/>
    </row>
    <row r="682" spans="4:4" x14ac:dyDescent="0.45">
      <c r="D682" s="47"/>
    </row>
    <row r="683" spans="4:4" x14ac:dyDescent="0.45">
      <c r="D683" s="47"/>
    </row>
    <row r="684" spans="4:4" x14ac:dyDescent="0.45">
      <c r="D684" s="47"/>
    </row>
    <row r="685" spans="4:4" x14ac:dyDescent="0.45">
      <c r="D685" s="47"/>
    </row>
    <row r="686" spans="4:4" x14ac:dyDescent="0.45">
      <c r="D686" s="47"/>
    </row>
    <row r="687" spans="4:4" x14ac:dyDescent="0.45">
      <c r="D687" s="47"/>
    </row>
    <row r="688" spans="4:4" x14ac:dyDescent="0.45">
      <c r="D688" s="47"/>
    </row>
    <row r="689" spans="4:4" x14ac:dyDescent="0.45">
      <c r="D689" s="47"/>
    </row>
    <row r="690" spans="4:4" x14ac:dyDescent="0.45">
      <c r="D690" s="47"/>
    </row>
    <row r="691" spans="4:4" x14ac:dyDescent="0.45">
      <c r="D691" s="47"/>
    </row>
    <row r="692" spans="4:4" x14ac:dyDescent="0.45">
      <c r="D692" s="47"/>
    </row>
    <row r="693" spans="4:4" x14ac:dyDescent="0.45">
      <c r="D693" s="47"/>
    </row>
    <row r="694" spans="4:4" x14ac:dyDescent="0.45">
      <c r="D694" s="47"/>
    </row>
    <row r="695" spans="4:4" x14ac:dyDescent="0.45">
      <c r="D695" s="47"/>
    </row>
    <row r="696" spans="4:4" x14ac:dyDescent="0.45">
      <c r="D696" s="47"/>
    </row>
    <row r="697" spans="4:4" x14ac:dyDescent="0.45">
      <c r="D697" s="47"/>
    </row>
    <row r="698" spans="4:4" x14ac:dyDescent="0.45">
      <c r="D698" s="47"/>
    </row>
    <row r="699" spans="4:4" x14ac:dyDescent="0.45">
      <c r="D699" s="47"/>
    </row>
    <row r="700" spans="4:4" x14ac:dyDescent="0.45">
      <c r="D700" s="47"/>
    </row>
    <row r="701" spans="4:4" x14ac:dyDescent="0.45">
      <c r="D701" s="47"/>
    </row>
    <row r="702" spans="4:4" x14ac:dyDescent="0.45">
      <c r="D702" s="47"/>
    </row>
    <row r="703" spans="4:4" x14ac:dyDescent="0.45">
      <c r="D703" s="47"/>
    </row>
    <row r="704" spans="4:4" x14ac:dyDescent="0.45">
      <c r="D704" s="47"/>
    </row>
    <row r="705" spans="4:4" x14ac:dyDescent="0.45">
      <c r="D705" s="47"/>
    </row>
    <row r="706" spans="4:4" x14ac:dyDescent="0.45">
      <c r="D706" s="47"/>
    </row>
    <row r="707" spans="4:4" x14ac:dyDescent="0.45">
      <c r="D707" s="47"/>
    </row>
    <row r="708" spans="4:4" x14ac:dyDescent="0.45">
      <c r="D708" s="47"/>
    </row>
    <row r="709" spans="4:4" x14ac:dyDescent="0.45">
      <c r="D709" s="47"/>
    </row>
    <row r="710" spans="4:4" x14ac:dyDescent="0.45">
      <c r="D710" s="47"/>
    </row>
    <row r="711" spans="4:4" x14ac:dyDescent="0.45">
      <c r="D711" s="47"/>
    </row>
    <row r="712" spans="4:4" x14ac:dyDescent="0.45">
      <c r="D712" s="47"/>
    </row>
    <row r="713" spans="4:4" x14ac:dyDescent="0.45">
      <c r="D713" s="47"/>
    </row>
    <row r="714" spans="4:4" x14ac:dyDescent="0.45">
      <c r="D714" s="47"/>
    </row>
    <row r="715" spans="4:4" x14ac:dyDescent="0.45">
      <c r="D715" s="47"/>
    </row>
    <row r="716" spans="4:4" x14ac:dyDescent="0.45">
      <c r="D716" s="47"/>
    </row>
    <row r="717" spans="4:4" x14ac:dyDescent="0.45">
      <c r="D717" s="47"/>
    </row>
    <row r="718" spans="4:4" x14ac:dyDescent="0.45">
      <c r="D718" s="47"/>
    </row>
    <row r="719" spans="4:4" x14ac:dyDescent="0.45">
      <c r="D719" s="47"/>
    </row>
    <row r="720" spans="4:4" x14ac:dyDescent="0.45">
      <c r="D720" s="47"/>
    </row>
    <row r="721" spans="4:4" x14ac:dyDescent="0.45">
      <c r="D721" s="47"/>
    </row>
    <row r="722" spans="4:4" x14ac:dyDescent="0.45">
      <c r="D722" s="47"/>
    </row>
    <row r="723" spans="4:4" x14ac:dyDescent="0.45">
      <c r="D723" s="47"/>
    </row>
    <row r="724" spans="4:4" x14ac:dyDescent="0.45">
      <c r="D724" s="47"/>
    </row>
    <row r="725" spans="4:4" x14ac:dyDescent="0.45">
      <c r="D725" s="47"/>
    </row>
    <row r="726" spans="4:4" x14ac:dyDescent="0.45">
      <c r="D726" s="47"/>
    </row>
    <row r="727" spans="4:4" x14ac:dyDescent="0.45">
      <c r="D727" s="47"/>
    </row>
    <row r="728" spans="4:4" x14ac:dyDescent="0.45">
      <c r="D728" s="47"/>
    </row>
    <row r="729" spans="4:4" x14ac:dyDescent="0.45">
      <c r="D729" s="47"/>
    </row>
    <row r="730" spans="4:4" x14ac:dyDescent="0.45">
      <c r="D730" s="47"/>
    </row>
    <row r="731" spans="4:4" x14ac:dyDescent="0.45">
      <c r="D731" s="47"/>
    </row>
    <row r="732" spans="4:4" x14ac:dyDescent="0.45">
      <c r="D732" s="47"/>
    </row>
    <row r="733" spans="4:4" x14ac:dyDescent="0.45">
      <c r="D733" s="47"/>
    </row>
    <row r="734" spans="4:4" x14ac:dyDescent="0.45">
      <c r="D734" s="47"/>
    </row>
    <row r="735" spans="4:4" x14ac:dyDescent="0.45">
      <c r="D735" s="47"/>
    </row>
    <row r="736" spans="4:4" x14ac:dyDescent="0.45">
      <c r="D736" s="47"/>
    </row>
    <row r="737" spans="4:4" x14ac:dyDescent="0.45">
      <c r="D737" s="47"/>
    </row>
    <row r="738" spans="4:4" x14ac:dyDescent="0.45">
      <c r="D738" s="47"/>
    </row>
    <row r="739" spans="4:4" x14ac:dyDescent="0.45">
      <c r="D739" s="47"/>
    </row>
    <row r="740" spans="4:4" x14ac:dyDescent="0.45">
      <c r="D740" s="47"/>
    </row>
    <row r="741" spans="4:4" x14ac:dyDescent="0.45">
      <c r="D741" s="47"/>
    </row>
    <row r="742" spans="4:4" x14ac:dyDescent="0.45">
      <c r="D742" s="47"/>
    </row>
    <row r="743" spans="4:4" x14ac:dyDescent="0.45">
      <c r="D743" s="47"/>
    </row>
    <row r="744" spans="4:4" x14ac:dyDescent="0.45">
      <c r="D744" s="47"/>
    </row>
    <row r="745" spans="4:4" x14ac:dyDescent="0.45">
      <c r="D745" s="47"/>
    </row>
    <row r="746" spans="4:4" x14ac:dyDescent="0.45">
      <c r="D746" s="47"/>
    </row>
    <row r="747" spans="4:4" x14ac:dyDescent="0.45">
      <c r="D747" s="47"/>
    </row>
    <row r="748" spans="4:4" x14ac:dyDescent="0.45">
      <c r="D748" s="47"/>
    </row>
    <row r="749" spans="4:4" x14ac:dyDescent="0.45">
      <c r="D749" s="47"/>
    </row>
    <row r="750" spans="4:4" x14ac:dyDescent="0.45">
      <c r="D750" s="47"/>
    </row>
    <row r="751" spans="4:4" x14ac:dyDescent="0.45">
      <c r="D751" s="47"/>
    </row>
    <row r="752" spans="4:4" x14ac:dyDescent="0.45">
      <c r="D752" s="47"/>
    </row>
    <row r="753" spans="4:4" x14ac:dyDescent="0.45">
      <c r="D753" s="47"/>
    </row>
    <row r="754" spans="4:4" x14ac:dyDescent="0.45">
      <c r="D754" s="47"/>
    </row>
    <row r="755" spans="4:4" x14ac:dyDescent="0.45">
      <c r="D755" s="47"/>
    </row>
    <row r="756" spans="4:4" x14ac:dyDescent="0.45">
      <c r="D756" s="47"/>
    </row>
    <row r="757" spans="4:4" x14ac:dyDescent="0.45">
      <c r="D757" s="47"/>
    </row>
    <row r="758" spans="4:4" x14ac:dyDescent="0.45">
      <c r="D758" s="47"/>
    </row>
    <row r="759" spans="4:4" x14ac:dyDescent="0.45">
      <c r="D759" s="47"/>
    </row>
    <row r="760" spans="4:4" x14ac:dyDescent="0.45">
      <c r="D760" s="47"/>
    </row>
    <row r="761" spans="4:4" x14ac:dyDescent="0.45">
      <c r="D761" s="47"/>
    </row>
    <row r="762" spans="4:4" x14ac:dyDescent="0.45">
      <c r="D762" s="47"/>
    </row>
    <row r="763" spans="4:4" x14ac:dyDescent="0.45">
      <c r="D763" s="47"/>
    </row>
    <row r="764" spans="4:4" x14ac:dyDescent="0.45">
      <c r="D764" s="47"/>
    </row>
    <row r="765" spans="4:4" x14ac:dyDescent="0.45">
      <c r="D765" s="47"/>
    </row>
    <row r="766" spans="4:4" x14ac:dyDescent="0.45">
      <c r="D766" s="47"/>
    </row>
    <row r="767" spans="4:4" x14ac:dyDescent="0.45">
      <c r="D767" s="47"/>
    </row>
    <row r="768" spans="4:4" x14ac:dyDescent="0.45">
      <c r="D768" s="47"/>
    </row>
    <row r="769" spans="4:4" x14ac:dyDescent="0.45">
      <c r="D769" s="47"/>
    </row>
    <row r="770" spans="4:4" x14ac:dyDescent="0.45">
      <c r="D770" s="47"/>
    </row>
    <row r="771" spans="4:4" x14ac:dyDescent="0.45">
      <c r="D771" s="47"/>
    </row>
    <row r="772" spans="4:4" x14ac:dyDescent="0.45">
      <c r="D772" s="47"/>
    </row>
    <row r="773" spans="4:4" x14ac:dyDescent="0.45">
      <c r="D773" s="47"/>
    </row>
    <row r="774" spans="4:4" x14ac:dyDescent="0.45">
      <c r="D774" s="47"/>
    </row>
    <row r="775" spans="4:4" x14ac:dyDescent="0.45">
      <c r="D775" s="47"/>
    </row>
    <row r="776" spans="4:4" x14ac:dyDescent="0.45">
      <c r="D776" s="47"/>
    </row>
    <row r="777" spans="4:4" x14ac:dyDescent="0.45">
      <c r="D777" s="47"/>
    </row>
    <row r="778" spans="4:4" x14ac:dyDescent="0.45">
      <c r="D778" s="47"/>
    </row>
    <row r="779" spans="4:4" x14ac:dyDescent="0.45">
      <c r="D779" s="47"/>
    </row>
    <row r="780" spans="4:4" x14ac:dyDescent="0.45">
      <c r="D780" s="47"/>
    </row>
    <row r="781" spans="4:4" x14ac:dyDescent="0.45">
      <c r="D781" s="47"/>
    </row>
    <row r="782" spans="4:4" x14ac:dyDescent="0.45">
      <c r="D782" s="47"/>
    </row>
    <row r="783" spans="4:4" x14ac:dyDescent="0.45">
      <c r="D783" s="47"/>
    </row>
    <row r="784" spans="4:4" x14ac:dyDescent="0.45">
      <c r="D784" s="47"/>
    </row>
    <row r="785" spans="4:4" x14ac:dyDescent="0.45">
      <c r="D785" s="47"/>
    </row>
    <row r="786" spans="4:4" x14ac:dyDescent="0.45">
      <c r="D786" s="47"/>
    </row>
    <row r="787" spans="4:4" x14ac:dyDescent="0.45">
      <c r="D787" s="47"/>
    </row>
    <row r="788" spans="4:4" x14ac:dyDescent="0.45">
      <c r="D788" s="47"/>
    </row>
    <row r="789" spans="4:4" x14ac:dyDescent="0.45">
      <c r="D789" s="47"/>
    </row>
    <row r="790" spans="4:4" x14ac:dyDescent="0.45">
      <c r="D790" s="47"/>
    </row>
    <row r="791" spans="4:4" x14ac:dyDescent="0.45">
      <c r="D791" s="47"/>
    </row>
    <row r="792" spans="4:4" x14ac:dyDescent="0.45">
      <c r="D792" s="47"/>
    </row>
    <row r="793" spans="4:4" x14ac:dyDescent="0.45">
      <c r="D793" s="47"/>
    </row>
    <row r="794" spans="4:4" x14ac:dyDescent="0.45">
      <c r="D794" s="47"/>
    </row>
    <row r="795" spans="4:4" x14ac:dyDescent="0.45">
      <c r="D795" s="47"/>
    </row>
    <row r="796" spans="4:4" x14ac:dyDescent="0.45">
      <c r="D796" s="47"/>
    </row>
    <row r="797" spans="4:4" x14ac:dyDescent="0.45">
      <c r="D797" s="47"/>
    </row>
    <row r="798" spans="4:4" x14ac:dyDescent="0.45">
      <c r="D798" s="47"/>
    </row>
    <row r="799" spans="4:4" x14ac:dyDescent="0.45">
      <c r="D799" s="47"/>
    </row>
    <row r="800" spans="4:4" x14ac:dyDescent="0.45">
      <c r="D800" s="47"/>
    </row>
    <row r="801" spans="4:4" x14ac:dyDescent="0.45">
      <c r="D801" s="47"/>
    </row>
    <row r="802" spans="4:4" x14ac:dyDescent="0.45">
      <c r="D802" s="47"/>
    </row>
    <row r="803" spans="4:4" x14ac:dyDescent="0.45">
      <c r="D803" s="47"/>
    </row>
    <row r="804" spans="4:4" x14ac:dyDescent="0.45">
      <c r="D804" s="47"/>
    </row>
    <row r="805" spans="4:4" x14ac:dyDescent="0.45">
      <c r="D805" s="47"/>
    </row>
    <row r="806" spans="4:4" x14ac:dyDescent="0.45">
      <c r="D806" s="47"/>
    </row>
    <row r="807" spans="4:4" x14ac:dyDescent="0.45">
      <c r="D807" s="47"/>
    </row>
    <row r="808" spans="4:4" x14ac:dyDescent="0.45">
      <c r="D808" s="47"/>
    </row>
    <row r="809" spans="4:4" x14ac:dyDescent="0.45">
      <c r="D809" s="47"/>
    </row>
    <row r="810" spans="4:4" x14ac:dyDescent="0.45">
      <c r="D810" s="47"/>
    </row>
    <row r="811" spans="4:4" x14ac:dyDescent="0.45">
      <c r="D811" s="47"/>
    </row>
    <row r="812" spans="4:4" x14ac:dyDescent="0.45">
      <c r="D812" s="47"/>
    </row>
    <row r="813" spans="4:4" x14ac:dyDescent="0.45">
      <c r="D813" s="47"/>
    </row>
    <row r="814" spans="4:4" x14ac:dyDescent="0.45">
      <c r="D814" s="47"/>
    </row>
    <row r="815" spans="4:4" x14ac:dyDescent="0.45">
      <c r="D815" s="47"/>
    </row>
    <row r="816" spans="4:4" x14ac:dyDescent="0.45">
      <c r="D816" s="47"/>
    </row>
    <row r="817" spans="4:4" x14ac:dyDescent="0.45">
      <c r="D817" s="47"/>
    </row>
    <row r="818" spans="4:4" x14ac:dyDescent="0.45">
      <c r="D818" s="47"/>
    </row>
    <row r="819" spans="4:4" x14ac:dyDescent="0.45">
      <c r="D819" s="47"/>
    </row>
    <row r="820" spans="4:4" x14ac:dyDescent="0.45">
      <c r="D820" s="47"/>
    </row>
    <row r="821" spans="4:4" x14ac:dyDescent="0.45">
      <c r="D821" s="47"/>
    </row>
    <row r="822" spans="4:4" x14ac:dyDescent="0.45">
      <c r="D822" s="47"/>
    </row>
    <row r="823" spans="4:4" x14ac:dyDescent="0.45">
      <c r="D823" s="47"/>
    </row>
    <row r="824" spans="4:4" x14ac:dyDescent="0.45">
      <c r="D824" s="47"/>
    </row>
    <row r="825" spans="4:4" x14ac:dyDescent="0.45">
      <c r="D825" s="47"/>
    </row>
    <row r="826" spans="4:4" x14ac:dyDescent="0.45">
      <c r="D826" s="47"/>
    </row>
    <row r="827" spans="4:4" x14ac:dyDescent="0.45">
      <c r="D827" s="47"/>
    </row>
    <row r="828" spans="4:4" x14ac:dyDescent="0.45">
      <c r="D828" s="47"/>
    </row>
    <row r="829" spans="4:4" x14ac:dyDescent="0.45">
      <c r="D829" s="47"/>
    </row>
    <row r="830" spans="4:4" x14ac:dyDescent="0.45">
      <c r="D830" s="47"/>
    </row>
    <row r="831" spans="4:4" x14ac:dyDescent="0.45">
      <c r="D831" s="47"/>
    </row>
    <row r="832" spans="4:4" x14ac:dyDescent="0.45">
      <c r="D832" s="47"/>
    </row>
    <row r="833" spans="4:4" x14ac:dyDescent="0.45">
      <c r="D833" s="47"/>
    </row>
    <row r="834" spans="4:4" x14ac:dyDescent="0.45">
      <c r="D834" s="47"/>
    </row>
    <row r="835" spans="4:4" x14ac:dyDescent="0.45">
      <c r="D835" s="47"/>
    </row>
    <row r="836" spans="4:4" x14ac:dyDescent="0.45">
      <c r="D836" s="47"/>
    </row>
    <row r="837" spans="4:4" x14ac:dyDescent="0.45">
      <c r="D837" s="47"/>
    </row>
    <row r="838" spans="4:4" x14ac:dyDescent="0.45">
      <c r="D838" s="47"/>
    </row>
    <row r="839" spans="4:4" x14ac:dyDescent="0.45">
      <c r="D839" s="47"/>
    </row>
    <row r="840" spans="4:4" x14ac:dyDescent="0.45">
      <c r="D840" s="47"/>
    </row>
    <row r="841" spans="4:4" x14ac:dyDescent="0.45">
      <c r="D841" s="47"/>
    </row>
    <row r="842" spans="4:4" x14ac:dyDescent="0.45">
      <c r="D842" s="47"/>
    </row>
    <row r="843" spans="4:4" x14ac:dyDescent="0.45">
      <c r="D843" s="47"/>
    </row>
    <row r="844" spans="4:4" x14ac:dyDescent="0.45">
      <c r="D844" s="47"/>
    </row>
    <row r="845" spans="4:4" x14ac:dyDescent="0.45">
      <c r="D845" s="47"/>
    </row>
    <row r="846" spans="4:4" x14ac:dyDescent="0.45">
      <c r="D846" s="47"/>
    </row>
    <row r="847" spans="4:4" x14ac:dyDescent="0.45">
      <c r="D847" s="47"/>
    </row>
    <row r="848" spans="4:4" x14ac:dyDescent="0.45">
      <c r="D848" s="47"/>
    </row>
    <row r="849" spans="4:4" x14ac:dyDescent="0.45">
      <c r="D849" s="47"/>
    </row>
    <row r="850" spans="4:4" x14ac:dyDescent="0.45">
      <c r="D850" s="47"/>
    </row>
    <row r="851" spans="4:4" x14ac:dyDescent="0.45">
      <c r="D851" s="47"/>
    </row>
    <row r="852" spans="4:4" x14ac:dyDescent="0.45">
      <c r="D852" s="47"/>
    </row>
    <row r="853" spans="4:4" x14ac:dyDescent="0.45">
      <c r="D853" s="47"/>
    </row>
    <row r="854" spans="4:4" x14ac:dyDescent="0.45">
      <c r="D854" s="47"/>
    </row>
    <row r="855" spans="4:4" x14ac:dyDescent="0.45">
      <c r="D855" s="47"/>
    </row>
    <row r="856" spans="4:4" x14ac:dyDescent="0.45">
      <c r="D856" s="47"/>
    </row>
    <row r="857" spans="4:4" x14ac:dyDescent="0.45">
      <c r="D857" s="47"/>
    </row>
    <row r="858" spans="4:4" x14ac:dyDescent="0.45">
      <c r="D858" s="47"/>
    </row>
    <row r="859" spans="4:4" x14ac:dyDescent="0.45">
      <c r="D859" s="47"/>
    </row>
    <row r="860" spans="4:4" x14ac:dyDescent="0.45">
      <c r="D860" s="47"/>
    </row>
    <row r="861" spans="4:4" x14ac:dyDescent="0.45">
      <c r="D861" s="47"/>
    </row>
    <row r="862" spans="4:4" x14ac:dyDescent="0.45">
      <c r="D862" s="47"/>
    </row>
    <row r="863" spans="4:4" x14ac:dyDescent="0.45">
      <c r="D863" s="47"/>
    </row>
    <row r="864" spans="4:4" x14ac:dyDescent="0.45">
      <c r="D864" s="47"/>
    </row>
    <row r="865" spans="4:4" x14ac:dyDescent="0.45">
      <c r="D865" s="47"/>
    </row>
    <row r="866" spans="4:4" x14ac:dyDescent="0.45">
      <c r="D866" s="47"/>
    </row>
    <row r="867" spans="4:4" x14ac:dyDescent="0.45">
      <c r="D867" s="47"/>
    </row>
    <row r="868" spans="4:4" x14ac:dyDescent="0.45">
      <c r="D868" s="47"/>
    </row>
    <row r="869" spans="4:4" x14ac:dyDescent="0.45">
      <c r="D869" s="47"/>
    </row>
    <row r="870" spans="4:4" x14ac:dyDescent="0.45">
      <c r="D870" s="47"/>
    </row>
    <row r="871" spans="4:4" x14ac:dyDescent="0.45">
      <c r="D871" s="47"/>
    </row>
    <row r="872" spans="4:4" x14ac:dyDescent="0.45">
      <c r="D872" s="47"/>
    </row>
    <row r="873" spans="4:4" x14ac:dyDescent="0.45">
      <c r="D873" s="47"/>
    </row>
    <row r="874" spans="4:4" x14ac:dyDescent="0.45">
      <c r="D874" s="47"/>
    </row>
    <row r="875" spans="4:4" x14ac:dyDescent="0.45">
      <c r="D875" s="47"/>
    </row>
    <row r="876" spans="4:4" x14ac:dyDescent="0.45">
      <c r="D876" s="47"/>
    </row>
    <row r="877" spans="4:4" x14ac:dyDescent="0.45">
      <c r="D877" s="47"/>
    </row>
    <row r="878" spans="4:4" x14ac:dyDescent="0.45">
      <c r="D878" s="47"/>
    </row>
    <row r="879" spans="4:4" x14ac:dyDescent="0.45">
      <c r="D879" s="47"/>
    </row>
    <row r="880" spans="4:4" x14ac:dyDescent="0.45">
      <c r="D880" s="47"/>
    </row>
    <row r="881" spans="4:4" x14ac:dyDescent="0.45">
      <c r="D881" s="47"/>
    </row>
    <row r="882" spans="4:4" x14ac:dyDescent="0.45">
      <c r="D882" s="47"/>
    </row>
    <row r="883" spans="4:4" x14ac:dyDescent="0.45">
      <c r="D883" s="47"/>
    </row>
    <row r="884" spans="4:4" x14ac:dyDescent="0.45">
      <c r="D884" s="47"/>
    </row>
    <row r="885" spans="4:4" x14ac:dyDescent="0.45">
      <c r="D885" s="47"/>
    </row>
    <row r="886" spans="4:4" x14ac:dyDescent="0.45">
      <c r="D886" s="47"/>
    </row>
    <row r="887" spans="4:4" x14ac:dyDescent="0.45">
      <c r="D887" s="47"/>
    </row>
    <row r="888" spans="4:4" x14ac:dyDescent="0.45">
      <c r="D888" s="47"/>
    </row>
    <row r="889" spans="4:4" x14ac:dyDescent="0.45">
      <c r="D889" s="47"/>
    </row>
    <row r="890" spans="4:4" x14ac:dyDescent="0.45">
      <c r="D890" s="47"/>
    </row>
    <row r="891" spans="4:4" x14ac:dyDescent="0.45">
      <c r="D891" s="47"/>
    </row>
    <row r="892" spans="4:4" x14ac:dyDescent="0.45">
      <c r="D892" s="47"/>
    </row>
    <row r="893" spans="4:4" x14ac:dyDescent="0.45">
      <c r="D893" s="47"/>
    </row>
    <row r="894" spans="4:4" x14ac:dyDescent="0.45">
      <c r="D894" s="47"/>
    </row>
    <row r="895" spans="4:4" x14ac:dyDescent="0.45">
      <c r="D895" s="47"/>
    </row>
    <row r="896" spans="4:4" x14ac:dyDescent="0.45">
      <c r="D896" s="47"/>
    </row>
    <row r="897" spans="4:4" x14ac:dyDescent="0.45">
      <c r="D897" s="47"/>
    </row>
    <row r="898" spans="4:4" x14ac:dyDescent="0.45">
      <c r="D898" s="47"/>
    </row>
    <row r="899" spans="4:4" x14ac:dyDescent="0.45">
      <c r="D899" s="47"/>
    </row>
    <row r="900" spans="4:4" x14ac:dyDescent="0.45">
      <c r="D900" s="47"/>
    </row>
    <row r="901" spans="4:4" x14ac:dyDescent="0.45">
      <c r="D901" s="47"/>
    </row>
    <row r="902" spans="4:4" x14ac:dyDescent="0.45">
      <c r="D902" s="47"/>
    </row>
    <row r="903" spans="4:4" x14ac:dyDescent="0.45">
      <c r="D903" s="47"/>
    </row>
    <row r="904" spans="4:4" x14ac:dyDescent="0.45">
      <c r="D904" s="47"/>
    </row>
    <row r="905" spans="4:4" x14ac:dyDescent="0.45">
      <c r="D905" s="47"/>
    </row>
    <row r="906" spans="4:4" x14ac:dyDescent="0.45">
      <c r="D906" s="47"/>
    </row>
    <row r="907" spans="4:4" x14ac:dyDescent="0.45">
      <c r="D907" s="47"/>
    </row>
    <row r="908" spans="4:4" x14ac:dyDescent="0.45">
      <c r="D908" s="47"/>
    </row>
    <row r="909" spans="4:4" x14ac:dyDescent="0.45">
      <c r="D909" s="47"/>
    </row>
    <row r="910" spans="4:4" x14ac:dyDescent="0.45">
      <c r="D910" s="47"/>
    </row>
    <row r="911" spans="4:4" x14ac:dyDescent="0.45">
      <c r="D911" s="47"/>
    </row>
    <row r="912" spans="4:4" x14ac:dyDescent="0.45">
      <c r="D912" s="47"/>
    </row>
    <row r="913" spans="4:4" x14ac:dyDescent="0.45">
      <c r="D913" s="47"/>
    </row>
    <row r="914" spans="4:4" x14ac:dyDescent="0.45">
      <c r="D914" s="47"/>
    </row>
    <row r="915" spans="4:4" x14ac:dyDescent="0.45">
      <c r="D915" s="47"/>
    </row>
    <row r="916" spans="4:4" x14ac:dyDescent="0.45">
      <c r="D916" s="47"/>
    </row>
    <row r="917" spans="4:4" x14ac:dyDescent="0.45">
      <c r="D917" s="47"/>
    </row>
    <row r="918" spans="4:4" x14ac:dyDescent="0.45">
      <c r="D918" s="47"/>
    </row>
    <row r="919" spans="4:4" x14ac:dyDescent="0.45">
      <c r="D919" s="47"/>
    </row>
    <row r="920" spans="4:4" x14ac:dyDescent="0.45">
      <c r="D920" s="47"/>
    </row>
    <row r="921" spans="4:4" x14ac:dyDescent="0.45">
      <c r="D921" s="47"/>
    </row>
    <row r="922" spans="4:4" x14ac:dyDescent="0.45">
      <c r="D922" s="47"/>
    </row>
    <row r="923" spans="4:4" x14ac:dyDescent="0.45">
      <c r="D923" s="47"/>
    </row>
    <row r="924" spans="4:4" x14ac:dyDescent="0.45">
      <c r="D924" s="47"/>
    </row>
    <row r="925" spans="4:4" x14ac:dyDescent="0.45">
      <c r="D925" s="47"/>
    </row>
    <row r="926" spans="4:4" x14ac:dyDescent="0.45">
      <c r="D926" s="47"/>
    </row>
    <row r="927" spans="4:4" x14ac:dyDescent="0.45">
      <c r="D927" s="47"/>
    </row>
    <row r="928" spans="4:4" x14ac:dyDescent="0.45">
      <c r="D928" s="47"/>
    </row>
    <row r="929" spans="4:4" x14ac:dyDescent="0.45">
      <c r="D929" s="47"/>
    </row>
    <row r="930" spans="4:4" x14ac:dyDescent="0.45">
      <c r="D930" s="47"/>
    </row>
    <row r="931" spans="4:4" x14ac:dyDescent="0.45">
      <c r="D931" s="47"/>
    </row>
    <row r="932" spans="4:4" x14ac:dyDescent="0.45">
      <c r="D932" s="47"/>
    </row>
    <row r="933" spans="4:4" x14ac:dyDescent="0.45">
      <c r="D933" s="47"/>
    </row>
    <row r="934" spans="4:4" x14ac:dyDescent="0.45">
      <c r="D934" s="47"/>
    </row>
    <row r="935" spans="4:4" x14ac:dyDescent="0.45">
      <c r="D935" s="47"/>
    </row>
    <row r="936" spans="4:4" x14ac:dyDescent="0.45">
      <c r="D936" s="47"/>
    </row>
    <row r="937" spans="4:4" x14ac:dyDescent="0.45">
      <c r="D937" s="47"/>
    </row>
    <row r="938" spans="4:4" x14ac:dyDescent="0.45">
      <c r="D938" s="47"/>
    </row>
    <row r="939" spans="4:4" x14ac:dyDescent="0.45">
      <c r="D939" s="47"/>
    </row>
    <row r="940" spans="4:4" x14ac:dyDescent="0.45">
      <c r="D940" s="47"/>
    </row>
    <row r="941" spans="4:4" x14ac:dyDescent="0.45">
      <c r="D941" s="47"/>
    </row>
    <row r="942" spans="4:4" x14ac:dyDescent="0.45">
      <c r="D942" s="47"/>
    </row>
    <row r="943" spans="4:4" x14ac:dyDescent="0.45">
      <c r="D943" s="47"/>
    </row>
    <row r="944" spans="4:4" x14ac:dyDescent="0.45">
      <c r="D944" s="47"/>
    </row>
    <row r="945" spans="4:4" x14ac:dyDescent="0.45">
      <c r="D945" s="47"/>
    </row>
    <row r="946" spans="4:4" x14ac:dyDescent="0.45">
      <c r="D946" s="47"/>
    </row>
    <row r="947" spans="4:4" x14ac:dyDescent="0.45">
      <c r="D947" s="47"/>
    </row>
    <row r="948" spans="4:4" x14ac:dyDescent="0.45">
      <c r="D948" s="47"/>
    </row>
    <row r="949" spans="4:4" x14ac:dyDescent="0.45">
      <c r="D949" s="47"/>
    </row>
    <row r="950" spans="4:4" x14ac:dyDescent="0.45">
      <c r="D950" s="47"/>
    </row>
    <row r="951" spans="4:4" x14ac:dyDescent="0.45">
      <c r="D951" s="47"/>
    </row>
    <row r="952" spans="4:4" x14ac:dyDescent="0.45">
      <c r="D952" s="47"/>
    </row>
    <row r="953" spans="4:4" x14ac:dyDescent="0.45">
      <c r="D953" s="47"/>
    </row>
    <row r="954" spans="4:4" x14ac:dyDescent="0.45">
      <c r="D954" s="47"/>
    </row>
    <row r="955" spans="4:4" x14ac:dyDescent="0.45">
      <c r="D955" s="47"/>
    </row>
    <row r="956" spans="4:4" x14ac:dyDescent="0.45">
      <c r="D956" s="47"/>
    </row>
    <row r="957" spans="4:4" x14ac:dyDescent="0.45">
      <c r="D957" s="47"/>
    </row>
    <row r="958" spans="4:4" x14ac:dyDescent="0.45">
      <c r="D958" s="47"/>
    </row>
    <row r="959" spans="4:4" x14ac:dyDescent="0.45">
      <c r="D959" s="47"/>
    </row>
    <row r="960" spans="4:4" x14ac:dyDescent="0.45">
      <c r="D960" s="47"/>
    </row>
    <row r="961" spans="4:4" x14ac:dyDescent="0.45">
      <c r="D961" s="47"/>
    </row>
    <row r="962" spans="4:4" x14ac:dyDescent="0.45">
      <c r="D962" s="47"/>
    </row>
    <row r="963" spans="4:4" x14ac:dyDescent="0.45">
      <c r="D963" s="47"/>
    </row>
    <row r="964" spans="4:4" x14ac:dyDescent="0.45">
      <c r="D964" s="47"/>
    </row>
    <row r="965" spans="4:4" x14ac:dyDescent="0.45">
      <c r="D965" s="47"/>
    </row>
    <row r="966" spans="4:4" x14ac:dyDescent="0.45">
      <c r="D966" s="47"/>
    </row>
    <row r="967" spans="4:4" x14ac:dyDescent="0.45">
      <c r="D967" s="47"/>
    </row>
    <row r="968" spans="4:4" x14ac:dyDescent="0.45">
      <c r="D968" s="47"/>
    </row>
    <row r="969" spans="4:4" x14ac:dyDescent="0.45">
      <c r="D969" s="47"/>
    </row>
    <row r="970" spans="4:4" x14ac:dyDescent="0.45">
      <c r="D970" s="47"/>
    </row>
    <row r="971" spans="4:4" x14ac:dyDescent="0.45">
      <c r="D971" s="47"/>
    </row>
    <row r="972" spans="4:4" x14ac:dyDescent="0.45">
      <c r="D972" s="47"/>
    </row>
    <row r="973" spans="4:4" x14ac:dyDescent="0.45">
      <c r="D973" s="47"/>
    </row>
    <row r="974" spans="4:4" x14ac:dyDescent="0.45">
      <c r="D974" s="47"/>
    </row>
    <row r="975" spans="4:4" x14ac:dyDescent="0.45">
      <c r="D975" s="47"/>
    </row>
    <row r="976" spans="4:4" x14ac:dyDescent="0.45">
      <c r="D976" s="47"/>
    </row>
    <row r="977" spans="4:4" x14ac:dyDescent="0.45">
      <c r="D977" s="47"/>
    </row>
    <row r="978" spans="4:4" x14ac:dyDescent="0.45">
      <c r="D978" s="47"/>
    </row>
    <row r="979" spans="4:4" x14ac:dyDescent="0.45">
      <c r="D979" s="47"/>
    </row>
    <row r="980" spans="4:4" x14ac:dyDescent="0.45">
      <c r="D980" s="47"/>
    </row>
    <row r="981" spans="4:4" x14ac:dyDescent="0.45">
      <c r="D981" s="47"/>
    </row>
    <row r="982" spans="4:4" x14ac:dyDescent="0.45">
      <c r="D982" s="47"/>
    </row>
    <row r="983" spans="4:4" x14ac:dyDescent="0.45">
      <c r="D983" s="47"/>
    </row>
    <row r="984" spans="4:4" x14ac:dyDescent="0.45">
      <c r="D984" s="47"/>
    </row>
    <row r="985" spans="4:4" x14ac:dyDescent="0.45">
      <c r="D985" s="47"/>
    </row>
    <row r="986" spans="4:4" x14ac:dyDescent="0.45">
      <c r="D986" s="47"/>
    </row>
    <row r="987" spans="4:4" x14ac:dyDescent="0.45">
      <c r="D987" s="47"/>
    </row>
    <row r="988" spans="4:4" x14ac:dyDescent="0.45">
      <c r="D988" s="47"/>
    </row>
    <row r="989" spans="4:4" x14ac:dyDescent="0.45">
      <c r="D989" s="47"/>
    </row>
    <row r="990" spans="4:4" x14ac:dyDescent="0.45">
      <c r="D990" s="47"/>
    </row>
    <row r="991" spans="4:4" x14ac:dyDescent="0.45">
      <c r="D991" s="47"/>
    </row>
    <row r="992" spans="4:4" x14ac:dyDescent="0.45">
      <c r="D992" s="47"/>
    </row>
    <row r="993" spans="4:4" x14ac:dyDescent="0.45">
      <c r="D993" s="47"/>
    </row>
    <row r="994" spans="4:4" x14ac:dyDescent="0.45">
      <c r="D994" s="47"/>
    </row>
    <row r="995" spans="4:4" x14ac:dyDescent="0.45">
      <c r="D995" s="47"/>
    </row>
    <row r="996" spans="4:4" x14ac:dyDescent="0.45">
      <c r="D996" s="47"/>
    </row>
    <row r="997" spans="4:4" x14ac:dyDescent="0.45">
      <c r="D997" s="47"/>
    </row>
    <row r="998" spans="4:4" x14ac:dyDescent="0.45">
      <c r="D998" s="47"/>
    </row>
    <row r="999" spans="4:4" x14ac:dyDescent="0.45">
      <c r="D999" s="47"/>
    </row>
    <row r="1000" spans="4:4" x14ac:dyDescent="0.45">
      <c r="D1000" s="47"/>
    </row>
    <row r="1001" spans="4:4" x14ac:dyDescent="0.45">
      <c r="D1001" s="47"/>
    </row>
    <row r="1002" spans="4:4" x14ac:dyDescent="0.45">
      <c r="D1002" s="47"/>
    </row>
    <row r="1003" spans="4:4" x14ac:dyDescent="0.45">
      <c r="D1003" s="47"/>
    </row>
    <row r="1004" spans="4:4" x14ac:dyDescent="0.45">
      <c r="D1004" s="47"/>
    </row>
    <row r="1005" spans="4:4" x14ac:dyDescent="0.45">
      <c r="D1005" s="47"/>
    </row>
    <row r="1006" spans="4:4" x14ac:dyDescent="0.45">
      <c r="D1006" s="47"/>
    </row>
    <row r="1007" spans="4:4" x14ac:dyDescent="0.45">
      <c r="D1007" s="47"/>
    </row>
    <row r="1008" spans="4:4" x14ac:dyDescent="0.45">
      <c r="D1008" s="47"/>
    </row>
    <row r="1009" spans="4:4" x14ac:dyDescent="0.45">
      <c r="D1009" s="47"/>
    </row>
    <row r="1010" spans="4:4" x14ac:dyDescent="0.45">
      <c r="D1010" s="47"/>
    </row>
    <row r="1011" spans="4:4" x14ac:dyDescent="0.45">
      <c r="D1011" s="47"/>
    </row>
    <row r="1012" spans="4:4" x14ac:dyDescent="0.45">
      <c r="D1012" s="47"/>
    </row>
    <row r="1013" spans="4:4" x14ac:dyDescent="0.45">
      <c r="D1013" s="47"/>
    </row>
    <row r="1014" spans="4:4" x14ac:dyDescent="0.45">
      <c r="D1014" s="47"/>
    </row>
    <row r="1015" spans="4:4" x14ac:dyDescent="0.45">
      <c r="D1015" s="47"/>
    </row>
    <row r="1016" spans="4:4" x14ac:dyDescent="0.45">
      <c r="D1016" s="47"/>
    </row>
    <row r="1017" spans="4:4" x14ac:dyDescent="0.45">
      <c r="D1017" s="47"/>
    </row>
    <row r="1018" spans="4:4" x14ac:dyDescent="0.45">
      <c r="D1018" s="47"/>
    </row>
    <row r="1019" spans="4:4" x14ac:dyDescent="0.45">
      <c r="D1019" s="47"/>
    </row>
    <row r="1020" spans="4:4" x14ac:dyDescent="0.45">
      <c r="D1020" s="47"/>
    </row>
    <row r="1021" spans="4:4" x14ac:dyDescent="0.45">
      <c r="D1021" s="47"/>
    </row>
    <row r="1022" spans="4:4" x14ac:dyDescent="0.45">
      <c r="D1022" s="47"/>
    </row>
    <row r="1023" spans="4:4" x14ac:dyDescent="0.45">
      <c r="D1023" s="47"/>
    </row>
    <row r="1024" spans="4:4" x14ac:dyDescent="0.45">
      <c r="D1024" s="47"/>
    </row>
    <row r="1025" spans="4:4" x14ac:dyDescent="0.45">
      <c r="D1025" s="47"/>
    </row>
    <row r="1026" spans="4:4" x14ac:dyDescent="0.45">
      <c r="D1026" s="47"/>
    </row>
    <row r="1027" spans="4:4" x14ac:dyDescent="0.45">
      <c r="D1027" s="47"/>
    </row>
    <row r="1028" spans="4:4" x14ac:dyDescent="0.45">
      <c r="D1028" s="47"/>
    </row>
    <row r="1029" spans="4:4" x14ac:dyDescent="0.45">
      <c r="D1029" s="47"/>
    </row>
    <row r="1030" spans="4:4" x14ac:dyDescent="0.45">
      <c r="D1030" s="47"/>
    </row>
    <row r="1031" spans="4:4" x14ac:dyDescent="0.45">
      <c r="D1031" s="47"/>
    </row>
    <row r="1032" spans="4:4" x14ac:dyDescent="0.45">
      <c r="D1032" s="47"/>
    </row>
    <row r="1033" spans="4:4" x14ac:dyDescent="0.45">
      <c r="D1033" s="47"/>
    </row>
    <row r="1034" spans="4:4" x14ac:dyDescent="0.45">
      <c r="D1034" s="47"/>
    </row>
    <row r="1035" spans="4:4" x14ac:dyDescent="0.45">
      <c r="D1035" s="47"/>
    </row>
    <row r="1036" spans="4:4" x14ac:dyDescent="0.45">
      <c r="D1036" s="47"/>
    </row>
    <row r="1037" spans="4:4" x14ac:dyDescent="0.45">
      <c r="D1037" s="47"/>
    </row>
    <row r="1038" spans="4:4" x14ac:dyDescent="0.45">
      <c r="D1038" s="47"/>
    </row>
    <row r="1039" spans="4:4" x14ac:dyDescent="0.45">
      <c r="D1039" s="47"/>
    </row>
    <row r="1040" spans="4:4" x14ac:dyDescent="0.45">
      <c r="D1040" s="47"/>
    </row>
    <row r="1041" spans="4:4" x14ac:dyDescent="0.45">
      <c r="D1041" s="47"/>
    </row>
    <row r="1042" spans="4:4" x14ac:dyDescent="0.45">
      <c r="D1042" s="47"/>
    </row>
    <row r="1043" spans="4:4" x14ac:dyDescent="0.45">
      <c r="D1043" s="47"/>
    </row>
    <row r="1044" spans="4:4" x14ac:dyDescent="0.45">
      <c r="D1044" s="47"/>
    </row>
    <row r="1045" spans="4:4" x14ac:dyDescent="0.45">
      <c r="D1045" s="47"/>
    </row>
    <row r="1046" spans="4:4" x14ac:dyDescent="0.45">
      <c r="D1046" s="47"/>
    </row>
    <row r="1047" spans="4:4" x14ac:dyDescent="0.45">
      <c r="D1047" s="47"/>
    </row>
    <row r="1048" spans="4:4" x14ac:dyDescent="0.45">
      <c r="D1048" s="47"/>
    </row>
    <row r="1049" spans="4:4" x14ac:dyDescent="0.45">
      <c r="D1049" s="47"/>
    </row>
    <row r="1050" spans="4:4" x14ac:dyDescent="0.45">
      <c r="D1050" s="47"/>
    </row>
    <row r="1051" spans="4:4" x14ac:dyDescent="0.45">
      <c r="D1051" s="47"/>
    </row>
    <row r="1052" spans="4:4" x14ac:dyDescent="0.45">
      <c r="D1052" s="47"/>
    </row>
    <row r="1053" spans="4:4" x14ac:dyDescent="0.45">
      <c r="D1053" s="47"/>
    </row>
    <row r="1054" spans="4:4" x14ac:dyDescent="0.45">
      <c r="D1054" s="47"/>
    </row>
    <row r="1055" spans="4:4" x14ac:dyDescent="0.45">
      <c r="D1055" s="47"/>
    </row>
    <row r="1056" spans="4:4" x14ac:dyDescent="0.45">
      <c r="D1056" s="47"/>
    </row>
    <row r="1057" spans="4:4" x14ac:dyDescent="0.45">
      <c r="D1057" s="47"/>
    </row>
    <row r="1058" spans="4:4" x14ac:dyDescent="0.45">
      <c r="D1058" s="47"/>
    </row>
    <row r="1059" spans="4:4" x14ac:dyDescent="0.45">
      <c r="D1059" s="47"/>
    </row>
    <row r="1060" spans="4:4" x14ac:dyDescent="0.45">
      <c r="D1060" s="47"/>
    </row>
    <row r="1061" spans="4:4" x14ac:dyDescent="0.45">
      <c r="D1061" s="47"/>
    </row>
    <row r="1062" spans="4:4" x14ac:dyDescent="0.45">
      <c r="D1062" s="47"/>
    </row>
    <row r="1063" spans="4:4" x14ac:dyDescent="0.45">
      <c r="D1063" s="47"/>
    </row>
    <row r="1064" spans="4:4" x14ac:dyDescent="0.45">
      <c r="D1064" s="47"/>
    </row>
    <row r="1065" spans="4:4" x14ac:dyDescent="0.45">
      <c r="D1065" s="47"/>
    </row>
    <row r="1066" spans="4:4" x14ac:dyDescent="0.45">
      <c r="D1066" s="47"/>
    </row>
    <row r="1067" spans="4:4" x14ac:dyDescent="0.45">
      <c r="D1067" s="47"/>
    </row>
    <row r="1068" spans="4:4" x14ac:dyDescent="0.45">
      <c r="D1068" s="47"/>
    </row>
    <row r="1069" spans="4:4" x14ac:dyDescent="0.45">
      <c r="D1069" s="47"/>
    </row>
    <row r="1070" spans="4:4" x14ac:dyDescent="0.45">
      <c r="D1070" s="47"/>
    </row>
    <row r="1071" spans="4:4" x14ac:dyDescent="0.45">
      <c r="D1071" s="47"/>
    </row>
    <row r="1072" spans="4:4" x14ac:dyDescent="0.45">
      <c r="D1072" s="47"/>
    </row>
    <row r="1073" spans="4:4" x14ac:dyDescent="0.45">
      <c r="D1073" s="47"/>
    </row>
    <row r="1074" spans="4:4" x14ac:dyDescent="0.45">
      <c r="D1074" s="47"/>
    </row>
    <row r="1075" spans="4:4" x14ac:dyDescent="0.45">
      <c r="D1075" s="47"/>
    </row>
    <row r="1076" spans="4:4" x14ac:dyDescent="0.45">
      <c r="D1076" s="47"/>
    </row>
    <row r="1077" spans="4:4" x14ac:dyDescent="0.45">
      <c r="D1077" s="47"/>
    </row>
    <row r="1078" spans="4:4" x14ac:dyDescent="0.45">
      <c r="D1078" s="47"/>
    </row>
    <row r="1079" spans="4:4" x14ac:dyDescent="0.45">
      <c r="D1079" s="47"/>
    </row>
    <row r="1080" spans="4:4" x14ac:dyDescent="0.45">
      <c r="D1080" s="47"/>
    </row>
    <row r="1081" spans="4:4" x14ac:dyDescent="0.45">
      <c r="D1081" s="47"/>
    </row>
    <row r="1082" spans="4:4" x14ac:dyDescent="0.45">
      <c r="D1082" s="47"/>
    </row>
    <row r="1083" spans="4:4" x14ac:dyDescent="0.45">
      <c r="D1083" s="47"/>
    </row>
    <row r="1084" spans="4:4" x14ac:dyDescent="0.45">
      <c r="D1084" s="47"/>
    </row>
    <row r="1085" spans="4:4" x14ac:dyDescent="0.45">
      <c r="D1085" s="47"/>
    </row>
    <row r="1086" spans="4:4" x14ac:dyDescent="0.45">
      <c r="D1086" s="47"/>
    </row>
    <row r="1087" spans="4:4" x14ac:dyDescent="0.45">
      <c r="D1087" s="47"/>
    </row>
    <row r="1088" spans="4:4" x14ac:dyDescent="0.45">
      <c r="D1088" s="47"/>
    </row>
    <row r="1089" spans="4:4" x14ac:dyDescent="0.45">
      <c r="D1089" s="47"/>
    </row>
    <row r="1090" spans="4:4" x14ac:dyDescent="0.45">
      <c r="D1090" s="47"/>
    </row>
    <row r="1091" spans="4:4" x14ac:dyDescent="0.45">
      <c r="D1091" s="47"/>
    </row>
    <row r="1092" spans="4:4" x14ac:dyDescent="0.45">
      <c r="D1092" s="47"/>
    </row>
    <row r="1093" spans="4:4" x14ac:dyDescent="0.45">
      <c r="D1093" s="47"/>
    </row>
    <row r="1094" spans="4:4" x14ac:dyDescent="0.45">
      <c r="D1094" s="47"/>
    </row>
    <row r="1095" spans="4:4" x14ac:dyDescent="0.45">
      <c r="D1095" s="47"/>
    </row>
    <row r="1096" spans="4:4" x14ac:dyDescent="0.45">
      <c r="D1096" s="47"/>
    </row>
    <row r="1097" spans="4:4" x14ac:dyDescent="0.45">
      <c r="D1097" s="47"/>
    </row>
    <row r="1098" spans="4:4" x14ac:dyDescent="0.45">
      <c r="D1098" s="47"/>
    </row>
    <row r="1099" spans="4:4" x14ac:dyDescent="0.45">
      <c r="D1099" s="47"/>
    </row>
    <row r="1100" spans="4:4" x14ac:dyDescent="0.45">
      <c r="D1100" s="47"/>
    </row>
    <row r="1101" spans="4:4" x14ac:dyDescent="0.45">
      <c r="D1101" s="47"/>
    </row>
    <row r="1102" spans="4:4" x14ac:dyDescent="0.45">
      <c r="D1102" s="47"/>
    </row>
    <row r="1103" spans="4:4" x14ac:dyDescent="0.45">
      <c r="D1103" s="47"/>
    </row>
    <row r="1104" spans="4:4" x14ac:dyDescent="0.45">
      <c r="D1104" s="47"/>
    </row>
    <row r="1105" spans="4:4" x14ac:dyDescent="0.45">
      <c r="D1105" s="47"/>
    </row>
    <row r="1106" spans="4:4" x14ac:dyDescent="0.45">
      <c r="D1106" s="47"/>
    </row>
    <row r="1107" spans="4:4" x14ac:dyDescent="0.45">
      <c r="D1107" s="47"/>
    </row>
    <row r="1108" spans="4:4" x14ac:dyDescent="0.45">
      <c r="D1108" s="47"/>
    </row>
    <row r="1109" spans="4:4" x14ac:dyDescent="0.45">
      <c r="D1109" s="47"/>
    </row>
    <row r="1110" spans="4:4" x14ac:dyDescent="0.45">
      <c r="D1110" s="47"/>
    </row>
    <row r="1111" spans="4:4" x14ac:dyDescent="0.45">
      <c r="D1111" s="47"/>
    </row>
    <row r="1112" spans="4:4" x14ac:dyDescent="0.45">
      <c r="D1112" s="47"/>
    </row>
    <row r="1113" spans="4:4" x14ac:dyDescent="0.45">
      <c r="D1113" s="47"/>
    </row>
    <row r="1114" spans="4:4" x14ac:dyDescent="0.45">
      <c r="D1114" s="47"/>
    </row>
    <row r="1115" spans="4:4" x14ac:dyDescent="0.45">
      <c r="D1115" s="47"/>
    </row>
    <row r="1116" spans="4:4" x14ac:dyDescent="0.45">
      <c r="D1116" s="47"/>
    </row>
    <row r="1117" spans="4:4" x14ac:dyDescent="0.45">
      <c r="D1117" s="47"/>
    </row>
    <row r="1118" spans="4:4" x14ac:dyDescent="0.45">
      <c r="D1118" s="47"/>
    </row>
    <row r="1119" spans="4:4" x14ac:dyDescent="0.45">
      <c r="D1119" s="47"/>
    </row>
    <row r="1120" spans="4:4" x14ac:dyDescent="0.45">
      <c r="D1120" s="47"/>
    </row>
    <row r="1121" spans="4:4" x14ac:dyDescent="0.45">
      <c r="D1121" s="47"/>
    </row>
    <row r="1122" spans="4:4" x14ac:dyDescent="0.45">
      <c r="D1122" s="47"/>
    </row>
    <row r="1123" spans="4:4" x14ac:dyDescent="0.45">
      <c r="D1123" s="47"/>
    </row>
    <row r="1124" spans="4:4" x14ac:dyDescent="0.45">
      <c r="D1124" s="47"/>
    </row>
    <row r="1125" spans="4:4" x14ac:dyDescent="0.45">
      <c r="D1125" s="47"/>
    </row>
    <row r="1126" spans="4:4" x14ac:dyDescent="0.45">
      <c r="D1126" s="47"/>
    </row>
    <row r="1127" spans="4:4" x14ac:dyDescent="0.45">
      <c r="D1127" s="47"/>
    </row>
    <row r="1128" spans="4:4" x14ac:dyDescent="0.45">
      <c r="D1128" s="47"/>
    </row>
    <row r="1129" spans="4:4" x14ac:dyDescent="0.45">
      <c r="D1129" s="47"/>
    </row>
    <row r="1130" spans="4:4" x14ac:dyDescent="0.45">
      <c r="D1130" s="47"/>
    </row>
    <row r="1131" spans="4:4" x14ac:dyDescent="0.45">
      <c r="D1131" s="47"/>
    </row>
    <row r="1132" spans="4:4" x14ac:dyDescent="0.45">
      <c r="D1132" s="47"/>
    </row>
    <row r="1133" spans="4:4" x14ac:dyDescent="0.45">
      <c r="D1133" s="47"/>
    </row>
    <row r="1134" spans="4:4" x14ac:dyDescent="0.45">
      <c r="D1134" s="47"/>
    </row>
    <row r="1135" spans="4:4" x14ac:dyDescent="0.45">
      <c r="D1135" s="47"/>
    </row>
    <row r="1136" spans="4:4" x14ac:dyDescent="0.45">
      <c r="D1136" s="47"/>
    </row>
    <row r="1137" spans="4:4" x14ac:dyDescent="0.45">
      <c r="D1137" s="47"/>
    </row>
    <row r="1138" spans="4:4" x14ac:dyDescent="0.45">
      <c r="D1138" s="47"/>
    </row>
    <row r="1139" spans="4:4" x14ac:dyDescent="0.45">
      <c r="D1139" s="47"/>
    </row>
    <row r="1140" spans="4:4" x14ac:dyDescent="0.45">
      <c r="D1140" s="47"/>
    </row>
    <row r="1141" spans="4:4" x14ac:dyDescent="0.45">
      <c r="D1141" s="47"/>
    </row>
    <row r="1142" spans="4:4" x14ac:dyDescent="0.45">
      <c r="D1142" s="47"/>
    </row>
    <row r="1143" spans="4:4" x14ac:dyDescent="0.45">
      <c r="D1143" s="47"/>
    </row>
    <row r="1144" spans="4:4" x14ac:dyDescent="0.45">
      <c r="D1144" s="47"/>
    </row>
    <row r="1145" spans="4:4" x14ac:dyDescent="0.45">
      <c r="D1145" s="47"/>
    </row>
    <row r="1146" spans="4:4" x14ac:dyDescent="0.45">
      <c r="D1146" s="47"/>
    </row>
    <row r="1147" spans="4:4" x14ac:dyDescent="0.45">
      <c r="D1147" s="47"/>
    </row>
    <row r="1148" spans="4:4" x14ac:dyDescent="0.45">
      <c r="D1148" s="47"/>
    </row>
    <row r="1149" spans="4:4" x14ac:dyDescent="0.45">
      <c r="D1149" s="47"/>
    </row>
    <row r="1150" spans="4:4" x14ac:dyDescent="0.45">
      <c r="D1150" s="47"/>
    </row>
    <row r="1151" spans="4:4" x14ac:dyDescent="0.45">
      <c r="D1151" s="47"/>
    </row>
    <row r="1152" spans="4:4" x14ac:dyDescent="0.45">
      <c r="D1152" s="47"/>
    </row>
    <row r="1153" spans="4:4" x14ac:dyDescent="0.45">
      <c r="D1153" s="47"/>
    </row>
    <row r="1154" spans="4:4" x14ac:dyDescent="0.45">
      <c r="D1154" s="47"/>
    </row>
    <row r="1155" spans="4:4" x14ac:dyDescent="0.45">
      <c r="D1155" s="47"/>
    </row>
    <row r="1156" spans="4:4" x14ac:dyDescent="0.45">
      <c r="D1156" s="47"/>
    </row>
    <row r="1157" spans="4:4" x14ac:dyDescent="0.45">
      <c r="D1157" s="47"/>
    </row>
    <row r="1158" spans="4:4" x14ac:dyDescent="0.45">
      <c r="D1158" s="47"/>
    </row>
    <row r="1159" spans="4:4" x14ac:dyDescent="0.45">
      <c r="D1159" s="47"/>
    </row>
    <row r="1160" spans="4:4" x14ac:dyDescent="0.45">
      <c r="D1160" s="47"/>
    </row>
    <row r="1161" spans="4:4" x14ac:dyDescent="0.45">
      <c r="D1161" s="47"/>
    </row>
    <row r="1162" spans="4:4" x14ac:dyDescent="0.45">
      <c r="D1162" s="47"/>
    </row>
    <row r="1163" spans="4:4" x14ac:dyDescent="0.45">
      <c r="D1163" s="47"/>
    </row>
    <row r="1164" spans="4:4" x14ac:dyDescent="0.45">
      <c r="D1164" s="47"/>
    </row>
    <row r="1165" spans="4:4" x14ac:dyDescent="0.45">
      <c r="D1165" s="47"/>
    </row>
    <row r="1166" spans="4:4" x14ac:dyDescent="0.45">
      <c r="D1166" s="47"/>
    </row>
    <row r="1167" spans="4:4" x14ac:dyDescent="0.45">
      <c r="D1167" s="47"/>
    </row>
    <row r="1168" spans="4:4" x14ac:dyDescent="0.45">
      <c r="D1168" s="47"/>
    </row>
    <row r="1169" spans="4:4" x14ac:dyDescent="0.45">
      <c r="D1169" s="47"/>
    </row>
    <row r="1170" spans="4:4" x14ac:dyDescent="0.45">
      <c r="D1170" s="47"/>
    </row>
    <row r="1171" spans="4:4" x14ac:dyDescent="0.45">
      <c r="D1171" s="47"/>
    </row>
    <row r="1172" spans="4:4" x14ac:dyDescent="0.45">
      <c r="D1172" s="47"/>
    </row>
    <row r="1173" spans="4:4" x14ac:dyDescent="0.45">
      <c r="D1173" s="47"/>
    </row>
    <row r="1174" spans="4:4" x14ac:dyDescent="0.45">
      <c r="D1174" s="47"/>
    </row>
    <row r="1175" spans="4:4" x14ac:dyDescent="0.45">
      <c r="D1175" s="47"/>
    </row>
    <row r="1176" spans="4:4" x14ac:dyDescent="0.45">
      <c r="D1176" s="47"/>
    </row>
    <row r="1177" spans="4:4" x14ac:dyDescent="0.45">
      <c r="D1177" s="47"/>
    </row>
    <row r="1178" spans="4:4" x14ac:dyDescent="0.45">
      <c r="D1178" s="47"/>
    </row>
    <row r="1179" spans="4:4" x14ac:dyDescent="0.45">
      <c r="D1179" s="47"/>
    </row>
    <row r="1180" spans="4:4" x14ac:dyDescent="0.45">
      <c r="D1180" s="47"/>
    </row>
    <row r="1181" spans="4:4" x14ac:dyDescent="0.45">
      <c r="D1181" s="47"/>
    </row>
    <row r="1182" spans="4:4" x14ac:dyDescent="0.45">
      <c r="D1182" s="47"/>
    </row>
    <row r="1183" spans="4:4" x14ac:dyDescent="0.45">
      <c r="D1183" s="47"/>
    </row>
    <row r="1184" spans="4:4" x14ac:dyDescent="0.45">
      <c r="D1184" s="47"/>
    </row>
    <row r="1185" spans="4:4" x14ac:dyDescent="0.45">
      <c r="D1185" s="47"/>
    </row>
    <row r="1186" spans="4:4" x14ac:dyDescent="0.45">
      <c r="D1186" s="47"/>
    </row>
    <row r="1187" spans="4:4" x14ac:dyDescent="0.45">
      <c r="D1187" s="47"/>
    </row>
    <row r="1188" spans="4:4" x14ac:dyDescent="0.45">
      <c r="D1188" s="47"/>
    </row>
    <row r="1189" spans="4:4" x14ac:dyDescent="0.45">
      <c r="D1189" s="47"/>
    </row>
    <row r="1190" spans="4:4" x14ac:dyDescent="0.45">
      <c r="D1190" s="47"/>
    </row>
    <row r="1191" spans="4:4" x14ac:dyDescent="0.45">
      <c r="D1191" s="47"/>
    </row>
    <row r="1192" spans="4:4" x14ac:dyDescent="0.45">
      <c r="D1192" s="47"/>
    </row>
    <row r="1193" spans="4:4" x14ac:dyDescent="0.45">
      <c r="D1193" s="47"/>
    </row>
    <row r="1194" spans="4:4" x14ac:dyDescent="0.45">
      <c r="D1194" s="47"/>
    </row>
    <row r="1195" spans="4:4" x14ac:dyDescent="0.45">
      <c r="D1195" s="47"/>
    </row>
    <row r="1196" spans="4:4" x14ac:dyDescent="0.45">
      <c r="D1196" s="47"/>
    </row>
    <row r="1197" spans="4:4" x14ac:dyDescent="0.45">
      <c r="D1197" s="47"/>
    </row>
    <row r="1198" spans="4:4" x14ac:dyDescent="0.45">
      <c r="D1198" s="47"/>
    </row>
    <row r="1199" spans="4:4" x14ac:dyDescent="0.45">
      <c r="D1199" s="47"/>
    </row>
    <row r="1200" spans="4:4" x14ac:dyDescent="0.45">
      <c r="D1200" s="47"/>
    </row>
    <row r="1201" spans="4:4" x14ac:dyDescent="0.45">
      <c r="D1201" s="47"/>
    </row>
    <row r="1202" spans="4:4" x14ac:dyDescent="0.45">
      <c r="D1202" s="47"/>
    </row>
    <row r="1203" spans="4:4" x14ac:dyDescent="0.45">
      <c r="D1203" s="47"/>
    </row>
    <row r="1204" spans="4:4" x14ac:dyDescent="0.45">
      <c r="D1204" s="47"/>
    </row>
    <row r="1205" spans="4:4" x14ac:dyDescent="0.45">
      <c r="D1205" s="47"/>
    </row>
    <row r="1206" spans="4:4" x14ac:dyDescent="0.45">
      <c r="D1206" s="47"/>
    </row>
    <row r="1207" spans="4:4" x14ac:dyDescent="0.45">
      <c r="D1207" s="47"/>
    </row>
    <row r="1208" spans="4:4" x14ac:dyDescent="0.45">
      <c r="D1208" s="47"/>
    </row>
    <row r="1209" spans="4:4" x14ac:dyDescent="0.45">
      <c r="D1209" s="47"/>
    </row>
    <row r="1210" spans="4:4" x14ac:dyDescent="0.45">
      <c r="D1210" s="47"/>
    </row>
    <row r="1211" spans="4:4" x14ac:dyDescent="0.45">
      <c r="D1211" s="47"/>
    </row>
    <row r="1212" spans="4:4" x14ac:dyDescent="0.45">
      <c r="D1212" s="47"/>
    </row>
    <row r="1213" spans="4:4" x14ac:dyDescent="0.45">
      <c r="D1213" s="47"/>
    </row>
    <row r="1214" spans="4:4" x14ac:dyDescent="0.45">
      <c r="D1214" s="47"/>
    </row>
    <row r="1215" spans="4:4" x14ac:dyDescent="0.45">
      <c r="D1215" s="47"/>
    </row>
    <row r="1216" spans="4:4" x14ac:dyDescent="0.45">
      <c r="D1216" s="47"/>
    </row>
    <row r="1217" spans="4:4" x14ac:dyDescent="0.45">
      <c r="D1217" s="47"/>
    </row>
    <row r="1218" spans="4:4" x14ac:dyDescent="0.45">
      <c r="D1218" s="47"/>
    </row>
    <row r="1219" spans="4:4" x14ac:dyDescent="0.45">
      <c r="D1219" s="47"/>
    </row>
    <row r="1220" spans="4:4" x14ac:dyDescent="0.45">
      <c r="D1220" s="47"/>
    </row>
    <row r="1221" spans="4:4" x14ac:dyDescent="0.45">
      <c r="D1221" s="47"/>
    </row>
    <row r="1222" spans="4:4" x14ac:dyDescent="0.45">
      <c r="D1222" s="47"/>
    </row>
    <row r="1223" spans="4:4" x14ac:dyDescent="0.45">
      <c r="D1223" s="47"/>
    </row>
    <row r="1224" spans="4:4" x14ac:dyDescent="0.45">
      <c r="D1224" s="47"/>
    </row>
    <row r="1225" spans="4:4" x14ac:dyDescent="0.45">
      <c r="D1225" s="47"/>
    </row>
    <row r="1226" spans="4:4" x14ac:dyDescent="0.45">
      <c r="D1226" s="47"/>
    </row>
    <row r="1227" spans="4:4" x14ac:dyDescent="0.45">
      <c r="D1227" s="47"/>
    </row>
    <row r="1228" spans="4:4" x14ac:dyDescent="0.45">
      <c r="D1228" s="47"/>
    </row>
    <row r="1229" spans="4:4" x14ac:dyDescent="0.45">
      <c r="D1229" s="47"/>
    </row>
    <row r="1230" spans="4:4" x14ac:dyDescent="0.45">
      <c r="D1230" s="47"/>
    </row>
    <row r="1231" spans="4:4" x14ac:dyDescent="0.45">
      <c r="D1231" s="47"/>
    </row>
    <row r="1232" spans="4:4" x14ac:dyDescent="0.45">
      <c r="D1232" s="47"/>
    </row>
    <row r="1233" spans="4:4" x14ac:dyDescent="0.45">
      <c r="D1233" s="47"/>
    </row>
    <row r="1234" spans="4:4" x14ac:dyDescent="0.45">
      <c r="D1234" s="47"/>
    </row>
    <row r="1235" spans="4:4" x14ac:dyDescent="0.45">
      <c r="D1235" s="47"/>
    </row>
    <row r="1236" spans="4:4" x14ac:dyDescent="0.45">
      <c r="D1236" s="47"/>
    </row>
    <row r="1237" spans="4:4" x14ac:dyDescent="0.45">
      <c r="D1237" s="47"/>
    </row>
    <row r="1238" spans="4:4" x14ac:dyDescent="0.45">
      <c r="D1238" s="47"/>
    </row>
    <row r="1239" spans="4:4" x14ac:dyDescent="0.45">
      <c r="D1239" s="47"/>
    </row>
    <row r="1240" spans="4:4" x14ac:dyDescent="0.45">
      <c r="D1240" s="47"/>
    </row>
    <row r="1241" spans="4:4" x14ac:dyDescent="0.45">
      <c r="D1241" s="47"/>
    </row>
    <row r="1242" spans="4:4" x14ac:dyDescent="0.45">
      <c r="D1242" s="47"/>
    </row>
    <row r="1243" spans="4:4" x14ac:dyDescent="0.45">
      <c r="D1243" s="47"/>
    </row>
    <row r="1244" spans="4:4" x14ac:dyDescent="0.45">
      <c r="D1244" s="47"/>
    </row>
    <row r="1245" spans="4:4" x14ac:dyDescent="0.45">
      <c r="D1245" s="47"/>
    </row>
    <row r="1246" spans="4:4" x14ac:dyDescent="0.45">
      <c r="D1246" s="47"/>
    </row>
    <row r="1247" spans="4:4" x14ac:dyDescent="0.45">
      <c r="D1247" s="47"/>
    </row>
    <row r="1248" spans="4:4" x14ac:dyDescent="0.45">
      <c r="D1248" s="47"/>
    </row>
    <row r="1249" spans="4:4" x14ac:dyDescent="0.45">
      <c r="D1249" s="47"/>
    </row>
    <row r="1250" spans="4:4" x14ac:dyDescent="0.45">
      <c r="D1250" s="47"/>
    </row>
    <row r="1251" spans="4:4" x14ac:dyDescent="0.45">
      <c r="D1251" s="47"/>
    </row>
    <row r="1252" spans="4:4" x14ac:dyDescent="0.45">
      <c r="D1252" s="47"/>
    </row>
    <row r="1253" spans="4:4" x14ac:dyDescent="0.45">
      <c r="D1253" s="47"/>
    </row>
    <row r="1254" spans="4:4" x14ac:dyDescent="0.45">
      <c r="D1254" s="47"/>
    </row>
    <row r="1255" spans="4:4" x14ac:dyDescent="0.45">
      <c r="D1255" s="47"/>
    </row>
    <row r="1256" spans="4:4" x14ac:dyDescent="0.45">
      <c r="D1256" s="47"/>
    </row>
    <row r="1257" spans="4:4" x14ac:dyDescent="0.45">
      <c r="D1257" s="47"/>
    </row>
    <row r="1258" spans="4:4" x14ac:dyDescent="0.45">
      <c r="D1258" s="47"/>
    </row>
    <row r="1259" spans="4:4" x14ac:dyDescent="0.45">
      <c r="D1259" s="47"/>
    </row>
    <row r="1260" spans="4:4" x14ac:dyDescent="0.45">
      <c r="D1260" s="47"/>
    </row>
    <row r="1261" spans="4:4" x14ac:dyDescent="0.45">
      <c r="D1261" s="47"/>
    </row>
    <row r="1262" spans="4:4" x14ac:dyDescent="0.45">
      <c r="D1262" s="47"/>
    </row>
    <row r="1263" spans="4:4" x14ac:dyDescent="0.45">
      <c r="D1263" s="47"/>
    </row>
    <row r="1264" spans="4:4" x14ac:dyDescent="0.45">
      <c r="D1264" s="47"/>
    </row>
    <row r="1265" spans="4:4" x14ac:dyDescent="0.45">
      <c r="D1265" s="47"/>
    </row>
    <row r="1266" spans="4:4" x14ac:dyDescent="0.45">
      <c r="D1266" s="47"/>
    </row>
    <row r="1267" spans="4:4" x14ac:dyDescent="0.45">
      <c r="D1267" s="47"/>
    </row>
    <row r="1268" spans="4:4" x14ac:dyDescent="0.45">
      <c r="D1268" s="47"/>
    </row>
    <row r="1269" spans="4:4" x14ac:dyDescent="0.45">
      <c r="D1269" s="47"/>
    </row>
    <row r="1270" spans="4:4" x14ac:dyDescent="0.45">
      <c r="D1270" s="47"/>
    </row>
    <row r="1271" spans="4:4" x14ac:dyDescent="0.45">
      <c r="D1271" s="47"/>
    </row>
    <row r="1272" spans="4:4" x14ac:dyDescent="0.45">
      <c r="D1272" s="47"/>
    </row>
    <row r="1273" spans="4:4" x14ac:dyDescent="0.45">
      <c r="D1273" s="47"/>
    </row>
    <row r="1274" spans="4:4" x14ac:dyDescent="0.45">
      <c r="D1274" s="47"/>
    </row>
    <row r="1275" spans="4:4" x14ac:dyDescent="0.45">
      <c r="D1275" s="47"/>
    </row>
    <row r="1276" spans="4:4" x14ac:dyDescent="0.45">
      <c r="D1276" s="47"/>
    </row>
    <row r="1277" spans="4:4" x14ac:dyDescent="0.45">
      <c r="D1277" s="47"/>
    </row>
    <row r="1278" spans="4:4" x14ac:dyDescent="0.45">
      <c r="D1278" s="47"/>
    </row>
    <row r="1279" spans="4:4" x14ac:dyDescent="0.45">
      <c r="D1279" s="47"/>
    </row>
    <row r="1280" spans="4:4" x14ac:dyDescent="0.45">
      <c r="D1280" s="47"/>
    </row>
    <row r="1281" spans="4:4" x14ac:dyDescent="0.45">
      <c r="D1281" s="47"/>
    </row>
    <row r="1282" spans="4:4" x14ac:dyDescent="0.45">
      <c r="D1282" s="47"/>
    </row>
    <row r="1283" spans="4:4" x14ac:dyDescent="0.45">
      <c r="D1283" s="47"/>
    </row>
    <row r="1284" spans="4:4" x14ac:dyDescent="0.45">
      <c r="D1284" s="47"/>
    </row>
    <row r="1285" spans="4:4" x14ac:dyDescent="0.45">
      <c r="D1285" s="47"/>
    </row>
    <row r="1286" spans="4:4" x14ac:dyDescent="0.45">
      <c r="D1286" s="47"/>
    </row>
    <row r="1287" spans="4:4" x14ac:dyDescent="0.45">
      <c r="D1287" s="47"/>
    </row>
    <row r="1288" spans="4:4" x14ac:dyDescent="0.45">
      <c r="D1288" s="47"/>
    </row>
    <row r="1289" spans="4:4" x14ac:dyDescent="0.45">
      <c r="D1289" s="47"/>
    </row>
    <row r="1290" spans="4:4" x14ac:dyDescent="0.45">
      <c r="D1290" s="47"/>
    </row>
    <row r="1291" spans="4:4" x14ac:dyDescent="0.45">
      <c r="D1291" s="47"/>
    </row>
    <row r="1292" spans="4:4" x14ac:dyDescent="0.45">
      <c r="D1292" s="47"/>
    </row>
    <row r="1293" spans="4:4" x14ac:dyDescent="0.45">
      <c r="D1293" s="47"/>
    </row>
    <row r="1294" spans="4:4" x14ac:dyDescent="0.45">
      <c r="D1294" s="47"/>
    </row>
    <row r="1295" spans="4:4" x14ac:dyDescent="0.45">
      <c r="D1295" s="47"/>
    </row>
    <row r="1296" spans="4:4" x14ac:dyDescent="0.45">
      <c r="D1296" s="47"/>
    </row>
    <row r="1297" spans="4:4" x14ac:dyDescent="0.45">
      <c r="D1297" s="47"/>
    </row>
    <row r="1298" spans="4:4" x14ac:dyDescent="0.45">
      <c r="D1298" s="47"/>
    </row>
    <row r="1299" spans="4:4" x14ac:dyDescent="0.45">
      <c r="D1299" s="47"/>
    </row>
    <row r="1300" spans="4:4" x14ac:dyDescent="0.45">
      <c r="D1300" s="47"/>
    </row>
    <row r="1301" spans="4:4" x14ac:dyDescent="0.45">
      <c r="D1301" s="47"/>
    </row>
    <row r="1302" spans="4:4" x14ac:dyDescent="0.45">
      <c r="D1302" s="47"/>
    </row>
    <row r="1303" spans="4:4" x14ac:dyDescent="0.45">
      <c r="D1303" s="47"/>
    </row>
    <row r="1304" spans="4:4" x14ac:dyDescent="0.45">
      <c r="D1304" s="47"/>
    </row>
    <row r="1305" spans="4:4" x14ac:dyDescent="0.45">
      <c r="D1305" s="47"/>
    </row>
    <row r="1306" spans="4:4" x14ac:dyDescent="0.45">
      <c r="D1306" s="47"/>
    </row>
    <row r="1307" spans="4:4" x14ac:dyDescent="0.45">
      <c r="D1307" s="47"/>
    </row>
    <row r="1308" spans="4:4" x14ac:dyDescent="0.45">
      <c r="D1308" s="47"/>
    </row>
    <row r="1309" spans="4:4" x14ac:dyDescent="0.45">
      <c r="D1309" s="47"/>
    </row>
    <row r="1310" spans="4:4" x14ac:dyDescent="0.45">
      <c r="D1310" s="47"/>
    </row>
    <row r="1311" spans="4:4" x14ac:dyDescent="0.45">
      <c r="D1311" s="47"/>
    </row>
    <row r="1312" spans="4:4" x14ac:dyDescent="0.45">
      <c r="D1312" s="47"/>
    </row>
    <row r="1313" spans="4:4" x14ac:dyDescent="0.45">
      <c r="D1313" s="47"/>
    </row>
    <row r="1314" spans="4:4" x14ac:dyDescent="0.45">
      <c r="D1314" s="47"/>
    </row>
    <row r="1315" spans="4:4" x14ac:dyDescent="0.45">
      <c r="D1315" s="47"/>
    </row>
    <row r="1316" spans="4:4" x14ac:dyDescent="0.45">
      <c r="D1316" s="47"/>
    </row>
    <row r="1317" spans="4:4" x14ac:dyDescent="0.45">
      <c r="D1317" s="47"/>
    </row>
    <row r="1318" spans="4:4" x14ac:dyDescent="0.45">
      <c r="D1318" s="47"/>
    </row>
    <row r="1319" spans="4:4" x14ac:dyDescent="0.45">
      <c r="D1319" s="47"/>
    </row>
    <row r="1320" spans="4:4" x14ac:dyDescent="0.45">
      <c r="D1320" s="47"/>
    </row>
    <row r="1321" spans="4:4" x14ac:dyDescent="0.45">
      <c r="D1321" s="47"/>
    </row>
    <row r="1322" spans="4:4" x14ac:dyDescent="0.45">
      <c r="D1322" s="47"/>
    </row>
    <row r="1323" spans="4:4" x14ac:dyDescent="0.45">
      <c r="D1323" s="47"/>
    </row>
    <row r="1324" spans="4:4" x14ac:dyDescent="0.45">
      <c r="D1324" s="47"/>
    </row>
    <row r="1325" spans="4:4" x14ac:dyDescent="0.45">
      <c r="D1325" s="47"/>
    </row>
    <row r="1326" spans="4:4" x14ac:dyDescent="0.45">
      <c r="D1326" s="47"/>
    </row>
    <row r="1327" spans="4:4" x14ac:dyDescent="0.45">
      <c r="D1327" s="47"/>
    </row>
    <row r="1328" spans="4:4" x14ac:dyDescent="0.45">
      <c r="D1328" s="47"/>
    </row>
    <row r="1329" spans="4:4" x14ac:dyDescent="0.45">
      <c r="D1329" s="47"/>
    </row>
    <row r="1330" spans="4:4" x14ac:dyDescent="0.45">
      <c r="D1330" s="47"/>
    </row>
    <row r="1331" spans="4:4" x14ac:dyDescent="0.45">
      <c r="D1331" s="47"/>
    </row>
    <row r="1332" spans="4:4" x14ac:dyDescent="0.45">
      <c r="D1332" s="47"/>
    </row>
    <row r="1333" spans="4:4" x14ac:dyDescent="0.45">
      <c r="D1333" s="47"/>
    </row>
    <row r="1334" spans="4:4" x14ac:dyDescent="0.45">
      <c r="D1334" s="47"/>
    </row>
    <row r="1335" spans="4:4" x14ac:dyDescent="0.45">
      <c r="D1335" s="47"/>
    </row>
    <row r="1336" spans="4:4" x14ac:dyDescent="0.45">
      <c r="D1336" s="47"/>
    </row>
    <row r="1337" spans="4:4" x14ac:dyDescent="0.45">
      <c r="D1337" s="47"/>
    </row>
    <row r="1338" spans="4:4" x14ac:dyDescent="0.45">
      <c r="D1338" s="47"/>
    </row>
    <row r="1339" spans="4:4" x14ac:dyDescent="0.45">
      <c r="D1339" s="47"/>
    </row>
    <row r="1340" spans="4:4" x14ac:dyDescent="0.45">
      <c r="D1340" s="47"/>
    </row>
    <row r="1341" spans="4:4" x14ac:dyDescent="0.45">
      <c r="D1341" s="47"/>
    </row>
    <row r="1342" spans="4:4" x14ac:dyDescent="0.45">
      <c r="D1342" s="47"/>
    </row>
    <row r="1343" spans="4:4" x14ac:dyDescent="0.45">
      <c r="D1343" s="47"/>
    </row>
    <row r="1344" spans="4:4" x14ac:dyDescent="0.45">
      <c r="D1344" s="47"/>
    </row>
    <row r="1345" spans="4:4" x14ac:dyDescent="0.45">
      <c r="D1345" s="47"/>
    </row>
    <row r="1346" spans="4:4" x14ac:dyDescent="0.45">
      <c r="D1346" s="47"/>
    </row>
    <row r="1347" spans="4:4" x14ac:dyDescent="0.45">
      <c r="D1347" s="47"/>
    </row>
    <row r="1348" spans="4:4" x14ac:dyDescent="0.45">
      <c r="D1348" s="47"/>
    </row>
    <row r="1349" spans="4:4" x14ac:dyDescent="0.45">
      <c r="D1349" s="47"/>
    </row>
    <row r="1350" spans="4:4" x14ac:dyDescent="0.45">
      <c r="D1350" s="47"/>
    </row>
    <row r="1351" spans="4:4" x14ac:dyDescent="0.45">
      <c r="D1351" s="47"/>
    </row>
    <row r="1352" spans="4:4" x14ac:dyDescent="0.45">
      <c r="D1352" s="47"/>
    </row>
    <row r="1353" spans="4:4" x14ac:dyDescent="0.45">
      <c r="D1353" s="47"/>
    </row>
    <row r="1354" spans="4:4" x14ac:dyDescent="0.45">
      <c r="D1354" s="47"/>
    </row>
    <row r="1355" spans="4:4" x14ac:dyDescent="0.45">
      <c r="D1355" s="47"/>
    </row>
    <row r="1356" spans="4:4" x14ac:dyDescent="0.45">
      <c r="D1356" s="47"/>
    </row>
    <row r="1357" spans="4:4" x14ac:dyDescent="0.45">
      <c r="D1357" s="47"/>
    </row>
    <row r="1358" spans="4:4" x14ac:dyDescent="0.45">
      <c r="D1358" s="47"/>
    </row>
    <row r="1359" spans="4:4" x14ac:dyDescent="0.45">
      <c r="D1359" s="47"/>
    </row>
    <row r="1360" spans="4:4" x14ac:dyDescent="0.45">
      <c r="D1360" s="47"/>
    </row>
    <row r="1361" spans="4:4" x14ac:dyDescent="0.45">
      <c r="D1361" s="47"/>
    </row>
    <row r="1362" spans="4:4" x14ac:dyDescent="0.45">
      <c r="D1362" s="47"/>
    </row>
    <row r="1363" spans="4:4" x14ac:dyDescent="0.45">
      <c r="D1363" s="47"/>
    </row>
    <row r="1364" spans="4:4" x14ac:dyDescent="0.45">
      <c r="D1364" s="47"/>
    </row>
    <row r="1365" spans="4:4" x14ac:dyDescent="0.45">
      <c r="D1365" s="47"/>
    </row>
    <row r="1366" spans="4:4" x14ac:dyDescent="0.45">
      <c r="D1366" s="47"/>
    </row>
    <row r="1367" spans="4:4" x14ac:dyDescent="0.45">
      <c r="D1367" s="47"/>
    </row>
    <row r="1368" spans="4:4" x14ac:dyDescent="0.45">
      <c r="D1368" s="47"/>
    </row>
    <row r="1369" spans="4:4" x14ac:dyDescent="0.45">
      <c r="D1369" s="47"/>
    </row>
    <row r="1370" spans="4:4" x14ac:dyDescent="0.45">
      <c r="D1370" s="47"/>
    </row>
    <row r="1371" spans="4:4" x14ac:dyDescent="0.45">
      <c r="D1371" s="47"/>
    </row>
    <row r="1372" spans="4:4" x14ac:dyDescent="0.45">
      <c r="D1372" s="47"/>
    </row>
    <row r="1373" spans="4:4" x14ac:dyDescent="0.45">
      <c r="D1373" s="47"/>
    </row>
    <row r="1374" spans="4:4" x14ac:dyDescent="0.45">
      <c r="D1374" s="47"/>
    </row>
    <row r="1375" spans="4:4" x14ac:dyDescent="0.45">
      <c r="D1375" s="47"/>
    </row>
    <row r="1376" spans="4:4" x14ac:dyDescent="0.45">
      <c r="D1376" s="47"/>
    </row>
    <row r="1377" spans="4:4" x14ac:dyDescent="0.45">
      <c r="D1377" s="47"/>
    </row>
    <row r="1378" spans="4:4" x14ac:dyDescent="0.45">
      <c r="D1378" s="47"/>
    </row>
    <row r="1379" spans="4:4" x14ac:dyDescent="0.45">
      <c r="D1379" s="47"/>
    </row>
    <row r="1380" spans="4:4" x14ac:dyDescent="0.45">
      <c r="D1380" s="47"/>
    </row>
    <row r="1381" spans="4:4" x14ac:dyDescent="0.45">
      <c r="D1381" s="47"/>
    </row>
    <row r="1382" spans="4:4" x14ac:dyDescent="0.45">
      <c r="D1382" s="47"/>
    </row>
    <row r="1383" spans="4:4" x14ac:dyDescent="0.45">
      <c r="D1383" s="47"/>
    </row>
    <row r="1384" spans="4:4" x14ac:dyDescent="0.45">
      <c r="D1384" s="47"/>
    </row>
    <row r="1385" spans="4:4" x14ac:dyDescent="0.45">
      <c r="D1385" s="47"/>
    </row>
    <row r="1386" spans="4:4" x14ac:dyDescent="0.45">
      <c r="D1386" s="47"/>
    </row>
    <row r="1387" spans="4:4" x14ac:dyDescent="0.45">
      <c r="D1387" s="47"/>
    </row>
    <row r="1388" spans="4:4" x14ac:dyDescent="0.45">
      <c r="D1388" s="47"/>
    </row>
    <row r="1389" spans="4:4" x14ac:dyDescent="0.45">
      <c r="D1389" s="47"/>
    </row>
    <row r="1390" spans="4:4" x14ac:dyDescent="0.45">
      <c r="D1390" s="47"/>
    </row>
    <row r="1391" spans="4:4" x14ac:dyDescent="0.45">
      <c r="D1391" s="47"/>
    </row>
    <row r="1392" spans="4:4" x14ac:dyDescent="0.45">
      <c r="D1392" s="47"/>
    </row>
    <row r="1393" spans="4:4" x14ac:dyDescent="0.45">
      <c r="D1393" s="47"/>
    </row>
    <row r="1394" spans="4:4" x14ac:dyDescent="0.45">
      <c r="D1394" s="47"/>
    </row>
    <row r="1395" spans="4:4" x14ac:dyDescent="0.45">
      <c r="D1395" s="47"/>
    </row>
    <row r="1396" spans="4:4" x14ac:dyDescent="0.45">
      <c r="D1396" s="47"/>
    </row>
    <row r="1397" spans="4:4" x14ac:dyDescent="0.45">
      <c r="D1397" s="47"/>
    </row>
    <row r="1398" spans="4:4" x14ac:dyDescent="0.45">
      <c r="D1398" s="47"/>
    </row>
    <row r="1399" spans="4:4" x14ac:dyDescent="0.45">
      <c r="D1399" s="47"/>
    </row>
    <row r="1400" spans="4:4" x14ac:dyDescent="0.45">
      <c r="D1400" s="47"/>
    </row>
    <row r="1401" spans="4:4" x14ac:dyDescent="0.45">
      <c r="D1401" s="47"/>
    </row>
    <row r="1402" spans="4:4" x14ac:dyDescent="0.45">
      <c r="D1402" s="47"/>
    </row>
    <row r="1403" spans="4:4" x14ac:dyDescent="0.45">
      <c r="D1403" s="47"/>
    </row>
    <row r="1404" spans="4:4" x14ac:dyDescent="0.45">
      <c r="D1404" s="47"/>
    </row>
    <row r="1405" spans="4:4" x14ac:dyDescent="0.45">
      <c r="D1405" s="47"/>
    </row>
    <row r="1406" spans="4:4" x14ac:dyDescent="0.45">
      <c r="D1406" s="47"/>
    </row>
    <row r="1407" spans="4:4" x14ac:dyDescent="0.45">
      <c r="D1407" s="47"/>
    </row>
    <row r="1408" spans="4:4" x14ac:dyDescent="0.45">
      <c r="D1408" s="47"/>
    </row>
    <row r="1409" spans="4:4" x14ac:dyDescent="0.45">
      <c r="D1409" s="47"/>
    </row>
    <row r="1410" spans="4:4" x14ac:dyDescent="0.45">
      <c r="D1410" s="47"/>
    </row>
    <row r="1411" spans="4:4" x14ac:dyDescent="0.45">
      <c r="D1411" s="47"/>
    </row>
    <row r="1412" spans="4:4" x14ac:dyDescent="0.45">
      <c r="D1412" s="47"/>
    </row>
    <row r="1413" spans="4:4" x14ac:dyDescent="0.45">
      <c r="D1413" s="47"/>
    </row>
    <row r="1414" spans="4:4" x14ac:dyDescent="0.45">
      <c r="D1414" s="47"/>
    </row>
    <row r="1415" spans="4:4" x14ac:dyDescent="0.45">
      <c r="D1415" s="47"/>
    </row>
    <row r="1416" spans="4:4" x14ac:dyDescent="0.45">
      <c r="D1416" s="47"/>
    </row>
    <row r="1417" spans="4:4" x14ac:dyDescent="0.45">
      <c r="D1417" s="47"/>
    </row>
    <row r="1418" spans="4:4" x14ac:dyDescent="0.45">
      <c r="D1418" s="47"/>
    </row>
    <row r="1419" spans="4:4" x14ac:dyDescent="0.45">
      <c r="D1419" s="47"/>
    </row>
    <row r="1420" spans="4:4" x14ac:dyDescent="0.45">
      <c r="D1420" s="47"/>
    </row>
    <row r="1421" spans="4:4" x14ac:dyDescent="0.45">
      <c r="D1421" s="47"/>
    </row>
    <row r="1422" spans="4:4" x14ac:dyDescent="0.45">
      <c r="D1422" s="47"/>
    </row>
    <row r="1423" spans="4:4" x14ac:dyDescent="0.45">
      <c r="D1423" s="47"/>
    </row>
    <row r="1424" spans="4:4" x14ac:dyDescent="0.45">
      <c r="D1424" s="47"/>
    </row>
    <row r="1425" spans="4:4" x14ac:dyDescent="0.45">
      <c r="D1425" s="47"/>
    </row>
    <row r="1426" spans="4:4" x14ac:dyDescent="0.45">
      <c r="D1426" s="47"/>
    </row>
    <row r="1427" spans="4:4" x14ac:dyDescent="0.45">
      <c r="D1427" s="47"/>
    </row>
    <row r="1428" spans="4:4" x14ac:dyDescent="0.45">
      <c r="D1428" s="47"/>
    </row>
    <row r="1429" spans="4:4" x14ac:dyDescent="0.45">
      <c r="D1429" s="47"/>
    </row>
    <row r="1430" spans="4:4" x14ac:dyDescent="0.45">
      <c r="D1430" s="47"/>
    </row>
    <row r="1431" spans="4:4" x14ac:dyDescent="0.45">
      <c r="D1431" s="47"/>
    </row>
    <row r="1432" spans="4:4" x14ac:dyDescent="0.45">
      <c r="D1432" s="47"/>
    </row>
    <row r="1433" spans="4:4" x14ac:dyDescent="0.45">
      <c r="D1433" s="47"/>
    </row>
    <row r="1434" spans="4:4" x14ac:dyDescent="0.45">
      <c r="D1434" s="47"/>
    </row>
    <row r="1435" spans="4:4" x14ac:dyDescent="0.45">
      <c r="D1435" s="47"/>
    </row>
    <row r="1436" spans="4:4" x14ac:dyDescent="0.45">
      <c r="D1436" s="47"/>
    </row>
    <row r="1437" spans="4:4" x14ac:dyDescent="0.45">
      <c r="D1437" s="47"/>
    </row>
    <row r="1438" spans="4:4" x14ac:dyDescent="0.45">
      <c r="D1438" s="47"/>
    </row>
    <row r="1439" spans="4:4" x14ac:dyDescent="0.45">
      <c r="D1439" s="47"/>
    </row>
    <row r="1440" spans="4:4" x14ac:dyDescent="0.45">
      <c r="D1440" s="47"/>
    </row>
    <row r="1441" spans="4:4" x14ac:dyDescent="0.45">
      <c r="D1441" s="47"/>
    </row>
    <row r="1442" spans="4:4" x14ac:dyDescent="0.45">
      <c r="D1442" s="47"/>
    </row>
    <row r="1443" spans="4:4" x14ac:dyDescent="0.45">
      <c r="D1443" s="47"/>
    </row>
    <row r="1444" spans="4:4" x14ac:dyDescent="0.45">
      <c r="D1444" s="47"/>
    </row>
    <row r="1445" spans="4:4" x14ac:dyDescent="0.45">
      <c r="D1445" s="47"/>
    </row>
    <row r="1446" spans="4:4" x14ac:dyDescent="0.45">
      <c r="D1446" s="47"/>
    </row>
    <row r="1447" spans="4:4" x14ac:dyDescent="0.45">
      <c r="D1447" s="47"/>
    </row>
    <row r="1448" spans="4:4" x14ac:dyDescent="0.45">
      <c r="D1448" s="47"/>
    </row>
    <row r="1449" spans="4:4" x14ac:dyDescent="0.45">
      <c r="D1449" s="47"/>
    </row>
    <row r="1450" spans="4:4" x14ac:dyDescent="0.45">
      <c r="D1450" s="47"/>
    </row>
    <row r="1451" spans="4:4" x14ac:dyDescent="0.45">
      <c r="D1451" s="47"/>
    </row>
    <row r="1452" spans="4:4" x14ac:dyDescent="0.45">
      <c r="D1452" s="47"/>
    </row>
    <row r="1453" spans="4:4" x14ac:dyDescent="0.45">
      <c r="D1453" s="47"/>
    </row>
    <row r="1454" spans="4:4" x14ac:dyDescent="0.45">
      <c r="D1454" s="47"/>
    </row>
    <row r="1455" spans="4:4" x14ac:dyDescent="0.45">
      <c r="D1455" s="47"/>
    </row>
    <row r="1456" spans="4:4" x14ac:dyDescent="0.45">
      <c r="D1456" s="47"/>
    </row>
    <row r="1457" spans="4:4" x14ac:dyDescent="0.45">
      <c r="D1457" s="47"/>
    </row>
    <row r="1458" spans="4:4" x14ac:dyDescent="0.45">
      <c r="D1458" s="47"/>
    </row>
    <row r="1459" spans="4:4" x14ac:dyDescent="0.45">
      <c r="D1459" s="47"/>
    </row>
    <row r="1460" spans="4:4" x14ac:dyDescent="0.45">
      <c r="D1460" s="47"/>
    </row>
    <row r="1461" spans="4:4" x14ac:dyDescent="0.45">
      <c r="D1461" s="47"/>
    </row>
    <row r="1462" spans="4:4" x14ac:dyDescent="0.45">
      <c r="D1462" s="47"/>
    </row>
    <row r="1463" spans="4:4" x14ac:dyDescent="0.45">
      <c r="D1463" s="47"/>
    </row>
    <row r="1464" spans="4:4" x14ac:dyDescent="0.45">
      <c r="D1464" s="47"/>
    </row>
    <row r="1465" spans="4:4" x14ac:dyDescent="0.45">
      <c r="D1465" s="47"/>
    </row>
    <row r="1466" spans="4:4" x14ac:dyDescent="0.45">
      <c r="D1466" s="47"/>
    </row>
    <row r="1467" spans="4:4" x14ac:dyDescent="0.45">
      <c r="D1467" s="47"/>
    </row>
    <row r="1468" spans="4:4" x14ac:dyDescent="0.45">
      <c r="D1468" s="47"/>
    </row>
    <row r="1469" spans="4:4" x14ac:dyDescent="0.45">
      <c r="D1469" s="47"/>
    </row>
    <row r="1470" spans="4:4" x14ac:dyDescent="0.45">
      <c r="D1470" s="47"/>
    </row>
    <row r="1471" spans="4:4" x14ac:dyDescent="0.45">
      <c r="D1471" s="47"/>
    </row>
    <row r="1472" spans="4:4" x14ac:dyDescent="0.45">
      <c r="D1472" s="47"/>
    </row>
    <row r="1473" spans="4:4" x14ac:dyDescent="0.45">
      <c r="D1473" s="47"/>
    </row>
    <row r="1474" spans="4:4" x14ac:dyDescent="0.45">
      <c r="D1474" s="47"/>
    </row>
    <row r="1475" spans="4:4" x14ac:dyDescent="0.45">
      <c r="D1475" s="47"/>
    </row>
    <row r="1476" spans="4:4" x14ac:dyDescent="0.45">
      <c r="D1476" s="47"/>
    </row>
    <row r="1477" spans="4:4" x14ac:dyDescent="0.45">
      <c r="D1477" s="47"/>
    </row>
    <row r="1478" spans="4:4" x14ac:dyDescent="0.45">
      <c r="D1478" s="47"/>
    </row>
    <row r="1479" spans="4:4" x14ac:dyDescent="0.45">
      <c r="D1479" s="47"/>
    </row>
    <row r="1480" spans="4:4" x14ac:dyDescent="0.45">
      <c r="D1480" s="47"/>
    </row>
    <row r="1481" spans="4:4" x14ac:dyDescent="0.45">
      <c r="D1481" s="47"/>
    </row>
    <row r="1482" spans="4:4" x14ac:dyDescent="0.45">
      <c r="D1482" s="47"/>
    </row>
    <row r="1483" spans="4:4" x14ac:dyDescent="0.45">
      <c r="D1483" s="47"/>
    </row>
    <row r="1484" spans="4:4" x14ac:dyDescent="0.45">
      <c r="D1484" s="47"/>
    </row>
    <row r="1485" spans="4:4" x14ac:dyDescent="0.45">
      <c r="D1485" s="47"/>
    </row>
    <row r="1486" spans="4:4" x14ac:dyDescent="0.45">
      <c r="D1486" s="47"/>
    </row>
    <row r="1487" spans="4:4" x14ac:dyDescent="0.45">
      <c r="D1487" s="47"/>
    </row>
    <row r="1488" spans="4:4" x14ac:dyDescent="0.45">
      <c r="D1488" s="47"/>
    </row>
    <row r="1489" spans="4:4" x14ac:dyDescent="0.45">
      <c r="D1489" s="47"/>
    </row>
    <row r="1490" spans="4:4" x14ac:dyDescent="0.45">
      <c r="D1490" s="47"/>
    </row>
    <row r="1491" spans="4:4" x14ac:dyDescent="0.45">
      <c r="D1491" s="47"/>
    </row>
    <row r="1492" spans="4:4" x14ac:dyDescent="0.45">
      <c r="D1492" s="47"/>
    </row>
    <row r="1493" spans="4:4" x14ac:dyDescent="0.45">
      <c r="D1493" s="47"/>
    </row>
    <row r="1494" spans="4:4" x14ac:dyDescent="0.45">
      <c r="D1494" s="47"/>
    </row>
    <row r="1495" spans="4:4" x14ac:dyDescent="0.45">
      <c r="D1495" s="47"/>
    </row>
    <row r="1496" spans="4:4" x14ac:dyDescent="0.45">
      <c r="D1496" s="47"/>
    </row>
    <row r="1497" spans="4:4" x14ac:dyDescent="0.45">
      <c r="D1497" s="47"/>
    </row>
    <row r="1498" spans="4:4" x14ac:dyDescent="0.45">
      <c r="D1498" s="47"/>
    </row>
    <row r="1499" spans="4:4" x14ac:dyDescent="0.45">
      <c r="D1499" s="47"/>
    </row>
    <row r="1500" spans="4:4" x14ac:dyDescent="0.45">
      <c r="D1500" s="47"/>
    </row>
    <row r="1501" spans="4:4" x14ac:dyDescent="0.45">
      <c r="D1501" s="47"/>
    </row>
    <row r="1502" spans="4:4" x14ac:dyDescent="0.45">
      <c r="D1502" s="47"/>
    </row>
    <row r="1503" spans="4:4" x14ac:dyDescent="0.45">
      <c r="D1503" s="47"/>
    </row>
    <row r="1504" spans="4:4" x14ac:dyDescent="0.45">
      <c r="D1504" s="47"/>
    </row>
    <row r="1505" spans="4:4" x14ac:dyDescent="0.45">
      <c r="D1505" s="47"/>
    </row>
    <row r="1506" spans="4:4" x14ac:dyDescent="0.45">
      <c r="D1506" s="47"/>
    </row>
    <row r="1507" spans="4:4" x14ac:dyDescent="0.45">
      <c r="D1507" s="47"/>
    </row>
    <row r="1508" spans="4:4" x14ac:dyDescent="0.45">
      <c r="D1508" s="47"/>
    </row>
    <row r="1509" spans="4:4" x14ac:dyDescent="0.45">
      <c r="D1509" s="47"/>
    </row>
    <row r="1510" spans="4:4" x14ac:dyDescent="0.45">
      <c r="D1510" s="47"/>
    </row>
    <row r="1511" spans="4:4" x14ac:dyDescent="0.45">
      <c r="D1511" s="47"/>
    </row>
    <row r="1512" spans="4:4" x14ac:dyDescent="0.45">
      <c r="D1512" s="47"/>
    </row>
    <row r="1513" spans="4:4" x14ac:dyDescent="0.45">
      <c r="D1513" s="47"/>
    </row>
    <row r="1514" spans="4:4" x14ac:dyDescent="0.45">
      <c r="D1514" s="47"/>
    </row>
    <row r="1515" spans="4:4" x14ac:dyDescent="0.45">
      <c r="D1515" s="47"/>
    </row>
    <row r="1516" spans="4:4" x14ac:dyDescent="0.45">
      <c r="D1516" s="47"/>
    </row>
    <row r="1517" spans="4:4" x14ac:dyDescent="0.45">
      <c r="D1517" s="47"/>
    </row>
    <row r="1518" spans="4:4" x14ac:dyDescent="0.45">
      <c r="D1518" s="47"/>
    </row>
    <row r="1519" spans="4:4" x14ac:dyDescent="0.45">
      <c r="D1519" s="47"/>
    </row>
    <row r="1520" spans="4:4" x14ac:dyDescent="0.45">
      <c r="D1520" s="47"/>
    </row>
    <row r="1521" spans="4:4" x14ac:dyDescent="0.45">
      <c r="D1521" s="47"/>
    </row>
    <row r="1522" spans="4:4" x14ac:dyDescent="0.45">
      <c r="D1522" s="47"/>
    </row>
    <row r="1523" spans="4:4" x14ac:dyDescent="0.45">
      <c r="D1523" s="47"/>
    </row>
    <row r="1524" spans="4:4" x14ac:dyDescent="0.45">
      <c r="D1524" s="47"/>
    </row>
    <row r="1525" spans="4:4" x14ac:dyDescent="0.45">
      <c r="D1525" s="47"/>
    </row>
    <row r="1526" spans="4:4" x14ac:dyDescent="0.45">
      <c r="D1526" s="47"/>
    </row>
    <row r="1527" spans="4:4" x14ac:dyDescent="0.45">
      <c r="D1527" s="47"/>
    </row>
    <row r="1528" spans="4:4" x14ac:dyDescent="0.45">
      <c r="D1528" s="47"/>
    </row>
    <row r="1529" spans="4:4" x14ac:dyDescent="0.45">
      <c r="D1529" s="47"/>
    </row>
    <row r="1530" spans="4:4" x14ac:dyDescent="0.45">
      <c r="D1530" s="47"/>
    </row>
    <row r="1531" spans="4:4" x14ac:dyDescent="0.45">
      <c r="D1531" s="47"/>
    </row>
    <row r="1532" spans="4:4" x14ac:dyDescent="0.45">
      <c r="D1532" s="47"/>
    </row>
    <row r="1533" spans="4:4" x14ac:dyDescent="0.45">
      <c r="D1533" s="47"/>
    </row>
    <row r="1534" spans="4:4" x14ac:dyDescent="0.45">
      <c r="D1534" s="47"/>
    </row>
    <row r="1535" spans="4:4" x14ac:dyDescent="0.45">
      <c r="D1535" s="47"/>
    </row>
    <row r="1536" spans="4:4" x14ac:dyDescent="0.45">
      <c r="D1536" s="47"/>
    </row>
    <row r="1537" spans="4:4" x14ac:dyDescent="0.45">
      <c r="D1537" s="47"/>
    </row>
    <row r="1538" spans="4:4" x14ac:dyDescent="0.45">
      <c r="D1538" s="47"/>
    </row>
    <row r="1539" spans="4:4" x14ac:dyDescent="0.45">
      <c r="D1539" s="47"/>
    </row>
    <row r="1540" spans="4:4" x14ac:dyDescent="0.45">
      <c r="D1540" s="47"/>
    </row>
    <row r="1541" spans="4:4" x14ac:dyDescent="0.45">
      <c r="D1541" s="47"/>
    </row>
    <row r="1542" spans="4:4" x14ac:dyDescent="0.45">
      <c r="D1542" s="47"/>
    </row>
    <row r="1543" spans="4:4" x14ac:dyDescent="0.45">
      <c r="D1543" s="47"/>
    </row>
    <row r="1544" spans="4:4" x14ac:dyDescent="0.45">
      <c r="D1544" s="47"/>
    </row>
    <row r="1545" spans="4:4" x14ac:dyDescent="0.45">
      <c r="D1545" s="47"/>
    </row>
    <row r="1546" spans="4:4" x14ac:dyDescent="0.45">
      <c r="D1546" s="47"/>
    </row>
    <row r="1547" spans="4:4" x14ac:dyDescent="0.45">
      <c r="D1547" s="47"/>
    </row>
    <row r="1548" spans="4:4" x14ac:dyDescent="0.45">
      <c r="D1548" s="47"/>
    </row>
    <row r="1549" spans="4:4" x14ac:dyDescent="0.45">
      <c r="D1549" s="47"/>
    </row>
    <row r="1550" spans="4:4" x14ac:dyDescent="0.45">
      <c r="D1550" s="47"/>
    </row>
    <row r="1551" spans="4:4" x14ac:dyDescent="0.45">
      <c r="D1551" s="47"/>
    </row>
    <row r="1552" spans="4:4" x14ac:dyDescent="0.45">
      <c r="D1552" s="47"/>
    </row>
    <row r="1553" spans="4:4" x14ac:dyDescent="0.45">
      <c r="D1553" s="47"/>
    </row>
    <row r="1554" spans="4:4" x14ac:dyDescent="0.45">
      <c r="D1554" s="47"/>
    </row>
    <row r="1555" spans="4:4" x14ac:dyDescent="0.45">
      <c r="D1555" s="47"/>
    </row>
    <row r="1556" spans="4:4" x14ac:dyDescent="0.45">
      <c r="D1556" s="47"/>
    </row>
    <row r="1557" spans="4:4" x14ac:dyDescent="0.45">
      <c r="D1557" s="47"/>
    </row>
    <row r="1558" spans="4:4" x14ac:dyDescent="0.45">
      <c r="D1558" s="47"/>
    </row>
    <row r="1559" spans="4:4" x14ac:dyDescent="0.45">
      <c r="D1559" s="47"/>
    </row>
    <row r="1560" spans="4:4" x14ac:dyDescent="0.45">
      <c r="D1560" s="47"/>
    </row>
    <row r="1561" spans="4:4" x14ac:dyDescent="0.45">
      <c r="D1561" s="47"/>
    </row>
    <row r="1562" spans="4:4" x14ac:dyDescent="0.45">
      <c r="D1562" s="47"/>
    </row>
    <row r="1563" spans="4:4" x14ac:dyDescent="0.45">
      <c r="D1563" s="47"/>
    </row>
    <row r="1564" spans="4:4" x14ac:dyDescent="0.45">
      <c r="D1564" s="47"/>
    </row>
    <row r="1565" spans="4:4" x14ac:dyDescent="0.45">
      <c r="D1565" s="47"/>
    </row>
    <row r="1566" spans="4:4" x14ac:dyDescent="0.45">
      <c r="D1566" s="47"/>
    </row>
    <row r="1567" spans="4:4" x14ac:dyDescent="0.45">
      <c r="D1567" s="47"/>
    </row>
    <row r="1568" spans="4:4" x14ac:dyDescent="0.45">
      <c r="D1568" s="47"/>
    </row>
    <row r="1569" spans="4:4" x14ac:dyDescent="0.45">
      <c r="D1569" s="47"/>
    </row>
    <row r="1570" spans="4:4" x14ac:dyDescent="0.45">
      <c r="D1570" s="47"/>
    </row>
    <row r="1571" spans="4:4" x14ac:dyDescent="0.45">
      <c r="D1571" s="47"/>
    </row>
    <row r="1572" spans="4:4" x14ac:dyDescent="0.45">
      <c r="D1572" s="47"/>
    </row>
    <row r="1573" spans="4:4" x14ac:dyDescent="0.45">
      <c r="D1573" s="47"/>
    </row>
    <row r="1574" spans="4:4" x14ac:dyDescent="0.45">
      <c r="D1574" s="47"/>
    </row>
    <row r="1575" spans="4:4" x14ac:dyDescent="0.45">
      <c r="D1575" s="47"/>
    </row>
    <row r="1576" spans="4:4" x14ac:dyDescent="0.45">
      <c r="D1576" s="47"/>
    </row>
    <row r="1577" spans="4:4" x14ac:dyDescent="0.45">
      <c r="D1577" s="47"/>
    </row>
    <row r="1578" spans="4:4" x14ac:dyDescent="0.45">
      <c r="D1578" s="47"/>
    </row>
    <row r="1579" spans="4:4" x14ac:dyDescent="0.45">
      <c r="D1579" s="47"/>
    </row>
    <row r="1580" spans="4:4" x14ac:dyDescent="0.45">
      <c r="D1580" s="47"/>
    </row>
    <row r="1581" spans="4:4" x14ac:dyDescent="0.45">
      <c r="D1581" s="47"/>
    </row>
    <row r="1582" spans="4:4" x14ac:dyDescent="0.45">
      <c r="D1582" s="47"/>
    </row>
    <row r="1583" spans="4:4" x14ac:dyDescent="0.45">
      <c r="D1583" s="47"/>
    </row>
    <row r="1584" spans="4:4" x14ac:dyDescent="0.45">
      <c r="D1584" s="47"/>
    </row>
    <row r="1585" spans="4:4" x14ac:dyDescent="0.45">
      <c r="D1585" s="47"/>
    </row>
    <row r="1586" spans="4:4" x14ac:dyDescent="0.45">
      <c r="D1586" s="47"/>
    </row>
    <row r="1587" spans="4:4" x14ac:dyDescent="0.45">
      <c r="D1587" s="47"/>
    </row>
    <row r="1588" spans="4:4" x14ac:dyDescent="0.45">
      <c r="D1588" s="47"/>
    </row>
    <row r="1589" spans="4:4" x14ac:dyDescent="0.45">
      <c r="D1589" s="47"/>
    </row>
    <row r="1590" spans="4:4" x14ac:dyDescent="0.45">
      <c r="D1590" s="47"/>
    </row>
    <row r="1591" spans="4:4" x14ac:dyDescent="0.45">
      <c r="D1591" s="47"/>
    </row>
    <row r="1592" spans="4:4" x14ac:dyDescent="0.45">
      <c r="D1592" s="47"/>
    </row>
    <row r="1593" spans="4:4" x14ac:dyDescent="0.45">
      <c r="D1593" s="47"/>
    </row>
    <row r="1594" spans="4:4" x14ac:dyDescent="0.45">
      <c r="D1594" s="47"/>
    </row>
    <row r="1595" spans="4:4" x14ac:dyDescent="0.45">
      <c r="D1595" s="47"/>
    </row>
    <row r="1596" spans="4:4" x14ac:dyDescent="0.45">
      <c r="D1596" s="47"/>
    </row>
    <row r="1597" spans="4:4" x14ac:dyDescent="0.45">
      <c r="D1597" s="47"/>
    </row>
    <row r="1598" spans="4:4" x14ac:dyDescent="0.45">
      <c r="D1598" s="47"/>
    </row>
    <row r="1599" spans="4:4" x14ac:dyDescent="0.45">
      <c r="D1599" s="47"/>
    </row>
    <row r="1600" spans="4:4" x14ac:dyDescent="0.45">
      <c r="D1600" s="47"/>
    </row>
    <row r="1601" spans="4:4" x14ac:dyDescent="0.45">
      <c r="D1601" s="47"/>
    </row>
    <row r="1602" spans="4:4" x14ac:dyDescent="0.45">
      <c r="D1602" s="47"/>
    </row>
    <row r="1603" spans="4:4" x14ac:dyDescent="0.45">
      <c r="D1603" s="47"/>
    </row>
    <row r="1604" spans="4:4" x14ac:dyDescent="0.45">
      <c r="D1604" s="47"/>
    </row>
    <row r="1605" spans="4:4" x14ac:dyDescent="0.45">
      <c r="D1605" s="47"/>
    </row>
    <row r="1606" spans="4:4" x14ac:dyDescent="0.45">
      <c r="D1606" s="47"/>
    </row>
    <row r="1607" spans="4:4" x14ac:dyDescent="0.45">
      <c r="D1607" s="47"/>
    </row>
    <row r="1608" spans="4:4" x14ac:dyDescent="0.45">
      <c r="D1608" s="47"/>
    </row>
    <row r="1609" spans="4:4" x14ac:dyDescent="0.45">
      <c r="D1609" s="47"/>
    </row>
    <row r="1610" spans="4:4" x14ac:dyDescent="0.45">
      <c r="D1610" s="47"/>
    </row>
    <row r="1611" spans="4:4" x14ac:dyDescent="0.45">
      <c r="D1611" s="47"/>
    </row>
    <row r="1612" spans="4:4" x14ac:dyDescent="0.45">
      <c r="D1612" s="47"/>
    </row>
    <row r="1613" spans="4:4" x14ac:dyDescent="0.45">
      <c r="D1613" s="47"/>
    </row>
    <row r="1614" spans="4:4" x14ac:dyDescent="0.45">
      <c r="D1614" s="47"/>
    </row>
    <row r="1615" spans="4:4" x14ac:dyDescent="0.45">
      <c r="D1615" s="47"/>
    </row>
    <row r="1616" spans="4:4" x14ac:dyDescent="0.45">
      <c r="D1616" s="47"/>
    </row>
    <row r="1617" spans="4:4" x14ac:dyDescent="0.45">
      <c r="D1617" s="47"/>
    </row>
    <row r="1618" spans="4:4" x14ac:dyDescent="0.45">
      <c r="D1618" s="47"/>
    </row>
    <row r="1619" spans="4:4" x14ac:dyDescent="0.45">
      <c r="D1619" s="47"/>
    </row>
    <row r="1620" spans="4:4" x14ac:dyDescent="0.45">
      <c r="D1620" s="47"/>
    </row>
    <row r="1621" spans="4:4" x14ac:dyDescent="0.45">
      <c r="D1621" s="47"/>
    </row>
    <row r="1622" spans="4:4" x14ac:dyDescent="0.45">
      <c r="D1622" s="47"/>
    </row>
    <row r="1623" spans="4:4" x14ac:dyDescent="0.45">
      <c r="D1623" s="47"/>
    </row>
    <row r="1624" spans="4:4" x14ac:dyDescent="0.45">
      <c r="D1624" s="47"/>
    </row>
    <row r="1625" spans="4:4" x14ac:dyDescent="0.45">
      <c r="D1625" s="47"/>
    </row>
    <row r="1626" spans="4:4" x14ac:dyDescent="0.45">
      <c r="D1626" s="47"/>
    </row>
    <row r="1627" spans="4:4" x14ac:dyDescent="0.45">
      <c r="D1627" s="47"/>
    </row>
    <row r="1628" spans="4:4" x14ac:dyDescent="0.45">
      <c r="D1628" s="47"/>
    </row>
    <row r="1629" spans="4:4" x14ac:dyDescent="0.45">
      <c r="D1629" s="47"/>
    </row>
    <row r="1630" spans="4:4" x14ac:dyDescent="0.45">
      <c r="D1630" s="47"/>
    </row>
    <row r="1631" spans="4:4" x14ac:dyDescent="0.45">
      <c r="D1631" s="47"/>
    </row>
    <row r="1632" spans="4:4" x14ac:dyDescent="0.45">
      <c r="D1632" s="47"/>
    </row>
    <row r="1633" spans="4:4" x14ac:dyDescent="0.45">
      <c r="D1633" s="47"/>
    </row>
    <row r="1634" spans="4:4" x14ac:dyDescent="0.45">
      <c r="D1634" s="47"/>
    </row>
    <row r="1635" spans="4:4" x14ac:dyDescent="0.45">
      <c r="D1635" s="47"/>
    </row>
    <row r="1636" spans="4:4" x14ac:dyDescent="0.45">
      <c r="D1636" s="47"/>
    </row>
    <row r="1637" spans="4:4" x14ac:dyDescent="0.45">
      <c r="D1637" s="47"/>
    </row>
    <row r="1638" spans="4:4" x14ac:dyDescent="0.45">
      <c r="D1638" s="47"/>
    </row>
    <row r="1639" spans="4:4" x14ac:dyDescent="0.45">
      <c r="D1639" s="47"/>
    </row>
    <row r="1640" spans="4:4" x14ac:dyDescent="0.45">
      <c r="D1640" s="47"/>
    </row>
    <row r="1641" spans="4:4" x14ac:dyDescent="0.45">
      <c r="D1641" s="47"/>
    </row>
    <row r="1642" spans="4:4" x14ac:dyDescent="0.45">
      <c r="D1642" s="47"/>
    </row>
    <row r="1643" spans="4:4" x14ac:dyDescent="0.45">
      <c r="D1643" s="47"/>
    </row>
    <row r="1644" spans="4:4" x14ac:dyDescent="0.45">
      <c r="D1644" s="47"/>
    </row>
    <row r="1645" spans="4:4" x14ac:dyDescent="0.45">
      <c r="D1645" s="47"/>
    </row>
    <row r="1646" spans="4:4" x14ac:dyDescent="0.45">
      <c r="D1646" s="47"/>
    </row>
    <row r="1647" spans="4:4" x14ac:dyDescent="0.45">
      <c r="D1647" s="47"/>
    </row>
    <row r="1648" spans="4:4" x14ac:dyDescent="0.45">
      <c r="D1648" s="47"/>
    </row>
    <row r="1649" spans="4:4" x14ac:dyDescent="0.45">
      <c r="D1649" s="47"/>
    </row>
    <row r="1650" spans="4:4" x14ac:dyDescent="0.45">
      <c r="D1650" s="47"/>
    </row>
    <row r="1651" spans="4:4" x14ac:dyDescent="0.45">
      <c r="D1651" s="47"/>
    </row>
    <row r="1652" spans="4:4" x14ac:dyDescent="0.45">
      <c r="D1652" s="47"/>
    </row>
    <row r="1653" spans="4:4" x14ac:dyDescent="0.45">
      <c r="D1653" s="47"/>
    </row>
    <row r="1654" spans="4:4" x14ac:dyDescent="0.45">
      <c r="D1654" s="47"/>
    </row>
    <row r="1655" spans="4:4" x14ac:dyDescent="0.45">
      <c r="D1655" s="47"/>
    </row>
    <row r="1656" spans="4:4" x14ac:dyDescent="0.45">
      <c r="D1656" s="47"/>
    </row>
    <row r="1657" spans="4:4" x14ac:dyDescent="0.45">
      <c r="D1657" s="47"/>
    </row>
    <row r="1658" spans="4:4" x14ac:dyDescent="0.45">
      <c r="D1658" s="47"/>
    </row>
    <row r="1659" spans="4:4" x14ac:dyDescent="0.45">
      <c r="D1659" s="47"/>
    </row>
    <row r="1660" spans="4:4" x14ac:dyDescent="0.45">
      <c r="D1660" s="47"/>
    </row>
    <row r="1661" spans="4:4" x14ac:dyDescent="0.45">
      <c r="D1661" s="47"/>
    </row>
    <row r="1662" spans="4:4" x14ac:dyDescent="0.45">
      <c r="D1662" s="47"/>
    </row>
    <row r="1663" spans="4:4" x14ac:dyDescent="0.45">
      <c r="D1663" s="47"/>
    </row>
    <row r="1664" spans="4:4" x14ac:dyDescent="0.45">
      <c r="D1664" s="47"/>
    </row>
    <row r="1665" spans="4:4" x14ac:dyDescent="0.45">
      <c r="D1665" s="47"/>
    </row>
    <row r="1666" spans="4:4" x14ac:dyDescent="0.45">
      <c r="D1666" s="47"/>
    </row>
    <row r="1667" spans="4:4" x14ac:dyDescent="0.45">
      <c r="D1667" s="47"/>
    </row>
    <row r="1668" spans="4:4" x14ac:dyDescent="0.45">
      <c r="D1668" s="47"/>
    </row>
    <row r="1669" spans="4:4" x14ac:dyDescent="0.45">
      <c r="D1669" s="47"/>
    </row>
    <row r="1670" spans="4:4" x14ac:dyDescent="0.45">
      <c r="D1670" s="47"/>
    </row>
    <row r="1671" spans="4:4" x14ac:dyDescent="0.45">
      <c r="D1671" s="47"/>
    </row>
    <row r="1672" spans="4:4" x14ac:dyDescent="0.45">
      <c r="D1672" s="47"/>
    </row>
    <row r="1673" spans="4:4" x14ac:dyDescent="0.45">
      <c r="D1673" s="47"/>
    </row>
    <row r="1674" spans="4:4" x14ac:dyDescent="0.45">
      <c r="D1674" s="47"/>
    </row>
    <row r="1675" spans="4:4" x14ac:dyDescent="0.45">
      <c r="D1675" s="47"/>
    </row>
    <row r="1676" spans="4:4" x14ac:dyDescent="0.45">
      <c r="D1676" s="47"/>
    </row>
    <row r="1677" spans="4:4" x14ac:dyDescent="0.45">
      <c r="D1677" s="47"/>
    </row>
    <row r="1678" spans="4:4" x14ac:dyDescent="0.45">
      <c r="D1678" s="47"/>
    </row>
    <row r="1679" spans="4:4" x14ac:dyDescent="0.45">
      <c r="D1679" s="47"/>
    </row>
    <row r="1680" spans="4:4" x14ac:dyDescent="0.45">
      <c r="D1680" s="47"/>
    </row>
    <row r="1681" spans="4:4" x14ac:dyDescent="0.45">
      <c r="D1681" s="47"/>
    </row>
    <row r="1682" spans="4:4" x14ac:dyDescent="0.45">
      <c r="D1682" s="47"/>
    </row>
    <row r="1683" spans="4:4" x14ac:dyDescent="0.45">
      <c r="D1683" s="47"/>
    </row>
    <row r="1684" spans="4:4" x14ac:dyDescent="0.45">
      <c r="D1684" s="47"/>
    </row>
    <row r="1685" spans="4:4" x14ac:dyDescent="0.45">
      <c r="D1685" s="47"/>
    </row>
    <row r="1686" spans="4:4" x14ac:dyDescent="0.45">
      <c r="D1686" s="47"/>
    </row>
    <row r="1687" spans="4:4" x14ac:dyDescent="0.45">
      <c r="D1687" s="47"/>
    </row>
    <row r="1688" spans="4:4" x14ac:dyDescent="0.45">
      <c r="D1688" s="47"/>
    </row>
    <row r="1689" spans="4:4" x14ac:dyDescent="0.45">
      <c r="D1689" s="47"/>
    </row>
    <row r="1690" spans="4:4" x14ac:dyDescent="0.45">
      <c r="D1690" s="47"/>
    </row>
    <row r="1691" spans="4:4" x14ac:dyDescent="0.45">
      <c r="D1691" s="47"/>
    </row>
    <row r="1692" spans="4:4" x14ac:dyDescent="0.45">
      <c r="D1692" s="47"/>
    </row>
    <row r="1693" spans="4:4" x14ac:dyDescent="0.45">
      <c r="D1693" s="47"/>
    </row>
    <row r="1694" spans="4:4" x14ac:dyDescent="0.45">
      <c r="D1694" s="47"/>
    </row>
    <row r="1695" spans="4:4" x14ac:dyDescent="0.45">
      <c r="D1695" s="47"/>
    </row>
    <row r="1696" spans="4:4" x14ac:dyDescent="0.45">
      <c r="D1696" s="47"/>
    </row>
    <row r="1697" spans="4:4" x14ac:dyDescent="0.45">
      <c r="D1697" s="47"/>
    </row>
    <row r="1698" spans="4:4" x14ac:dyDescent="0.45">
      <c r="D1698" s="47"/>
    </row>
    <row r="1699" spans="4:4" x14ac:dyDescent="0.45">
      <c r="D1699" s="47"/>
    </row>
    <row r="1700" spans="4:4" x14ac:dyDescent="0.45">
      <c r="D1700" s="47"/>
    </row>
    <row r="1701" spans="4:4" x14ac:dyDescent="0.45">
      <c r="D1701" s="47"/>
    </row>
    <row r="1702" spans="4:4" x14ac:dyDescent="0.45">
      <c r="D1702" s="47"/>
    </row>
    <row r="1703" spans="4:4" x14ac:dyDescent="0.45">
      <c r="D1703" s="47"/>
    </row>
    <row r="1704" spans="4:4" x14ac:dyDescent="0.45">
      <c r="D1704" s="47"/>
    </row>
    <row r="1705" spans="4:4" x14ac:dyDescent="0.45">
      <c r="D1705" s="47"/>
    </row>
    <row r="1706" spans="4:4" x14ac:dyDescent="0.45">
      <c r="D1706" s="47"/>
    </row>
    <row r="1707" spans="4:4" x14ac:dyDescent="0.45">
      <c r="D1707" s="47"/>
    </row>
    <row r="1708" spans="4:4" x14ac:dyDescent="0.45">
      <c r="D1708" s="47"/>
    </row>
    <row r="1709" spans="4:4" x14ac:dyDescent="0.45">
      <c r="D1709" s="47"/>
    </row>
    <row r="1710" spans="4:4" x14ac:dyDescent="0.45">
      <c r="D1710" s="47"/>
    </row>
    <row r="1711" spans="4:4" x14ac:dyDescent="0.45">
      <c r="D1711" s="47"/>
    </row>
    <row r="1712" spans="4:4" x14ac:dyDescent="0.45">
      <c r="D1712" s="47"/>
    </row>
    <row r="1713" spans="4:4" x14ac:dyDescent="0.45">
      <c r="D1713" s="47"/>
    </row>
    <row r="1714" spans="4:4" x14ac:dyDescent="0.45">
      <c r="D1714" s="47"/>
    </row>
    <row r="1715" spans="4:4" x14ac:dyDescent="0.45">
      <c r="D1715" s="47"/>
    </row>
    <row r="1716" spans="4:4" x14ac:dyDescent="0.45">
      <c r="D1716" s="47"/>
    </row>
    <row r="1717" spans="4:4" x14ac:dyDescent="0.45">
      <c r="D1717" s="47"/>
    </row>
    <row r="1718" spans="4:4" x14ac:dyDescent="0.45">
      <c r="D1718" s="47"/>
    </row>
    <row r="1719" spans="4:4" x14ac:dyDescent="0.45">
      <c r="D1719" s="47"/>
    </row>
    <row r="1720" spans="4:4" x14ac:dyDescent="0.45">
      <c r="D1720" s="47"/>
    </row>
    <row r="1721" spans="4:4" x14ac:dyDescent="0.45">
      <c r="D1721" s="47"/>
    </row>
    <row r="1722" spans="4:4" x14ac:dyDescent="0.45">
      <c r="D1722" s="47"/>
    </row>
    <row r="1723" spans="4:4" x14ac:dyDescent="0.45">
      <c r="D1723" s="47"/>
    </row>
    <row r="1724" spans="4:4" x14ac:dyDescent="0.45">
      <c r="D1724" s="47"/>
    </row>
    <row r="1725" spans="4:4" x14ac:dyDescent="0.45">
      <c r="D1725" s="47"/>
    </row>
    <row r="1726" spans="4:4" x14ac:dyDescent="0.45">
      <c r="D1726" s="47"/>
    </row>
    <row r="1727" spans="4:4" x14ac:dyDescent="0.45">
      <c r="D1727" s="47"/>
    </row>
    <row r="1728" spans="4:4" x14ac:dyDescent="0.45">
      <c r="D1728" s="47"/>
    </row>
    <row r="1729" spans="4:4" x14ac:dyDescent="0.45">
      <c r="D1729" s="47"/>
    </row>
    <row r="1730" spans="4:4" x14ac:dyDescent="0.45">
      <c r="D1730" s="47"/>
    </row>
    <row r="1731" spans="4:4" x14ac:dyDescent="0.45">
      <c r="D1731" s="47"/>
    </row>
    <row r="1732" spans="4:4" x14ac:dyDescent="0.45">
      <c r="D1732" s="47"/>
    </row>
    <row r="1733" spans="4:4" x14ac:dyDescent="0.45">
      <c r="D1733" s="47"/>
    </row>
    <row r="1734" spans="4:4" x14ac:dyDescent="0.45">
      <c r="D1734" s="47"/>
    </row>
    <row r="1735" spans="4:4" x14ac:dyDescent="0.45">
      <c r="D1735" s="47"/>
    </row>
    <row r="1736" spans="4:4" x14ac:dyDescent="0.45">
      <c r="D1736" s="47"/>
    </row>
    <row r="1737" spans="4:4" x14ac:dyDescent="0.45">
      <c r="D1737" s="47"/>
    </row>
    <row r="1738" spans="4:4" x14ac:dyDescent="0.45">
      <c r="D1738" s="47"/>
    </row>
    <row r="1739" spans="4:4" x14ac:dyDescent="0.45">
      <c r="D1739" s="47"/>
    </row>
    <row r="1740" spans="4:4" x14ac:dyDescent="0.45">
      <c r="D1740" s="47"/>
    </row>
    <row r="1741" spans="4:4" x14ac:dyDescent="0.45">
      <c r="D1741" s="47"/>
    </row>
    <row r="1742" spans="4:4" x14ac:dyDescent="0.45">
      <c r="D1742" s="47"/>
    </row>
    <row r="1743" spans="4:4" x14ac:dyDescent="0.45">
      <c r="D1743" s="47"/>
    </row>
    <row r="1744" spans="4:4" x14ac:dyDescent="0.45">
      <c r="D1744" s="47"/>
    </row>
    <row r="1745" spans="4:4" x14ac:dyDescent="0.45">
      <c r="D1745" s="47"/>
    </row>
    <row r="1746" spans="4:4" x14ac:dyDescent="0.45">
      <c r="D1746" s="47"/>
    </row>
    <row r="1747" spans="4:4" x14ac:dyDescent="0.45">
      <c r="D1747" s="47"/>
    </row>
    <row r="1748" spans="4:4" x14ac:dyDescent="0.45">
      <c r="D1748" s="47"/>
    </row>
    <row r="1749" spans="4:4" x14ac:dyDescent="0.45">
      <c r="D1749" s="47"/>
    </row>
    <row r="1750" spans="4:4" x14ac:dyDescent="0.45">
      <c r="D1750" s="47"/>
    </row>
    <row r="1751" spans="4:4" x14ac:dyDescent="0.45">
      <c r="D1751" s="47"/>
    </row>
    <row r="1752" spans="4:4" x14ac:dyDescent="0.45">
      <c r="D1752" s="47"/>
    </row>
    <row r="1753" spans="4:4" x14ac:dyDescent="0.45">
      <c r="D1753" s="47"/>
    </row>
    <row r="1754" spans="4:4" x14ac:dyDescent="0.45">
      <c r="D1754" s="47"/>
    </row>
    <row r="1755" spans="4:4" x14ac:dyDescent="0.45">
      <c r="D1755" s="47"/>
    </row>
    <row r="1756" spans="4:4" x14ac:dyDescent="0.45">
      <c r="D1756" s="47"/>
    </row>
    <row r="1757" spans="4:4" x14ac:dyDescent="0.45">
      <c r="D1757" s="47"/>
    </row>
    <row r="1758" spans="4:4" x14ac:dyDescent="0.45">
      <c r="D1758" s="47"/>
    </row>
    <row r="1759" spans="4:4" x14ac:dyDescent="0.45">
      <c r="D1759" s="47"/>
    </row>
    <row r="1760" spans="4:4" x14ac:dyDescent="0.45">
      <c r="D1760" s="47"/>
    </row>
    <row r="1761" spans="4:4" x14ac:dyDescent="0.45">
      <c r="D1761" s="47"/>
    </row>
    <row r="1762" spans="4:4" x14ac:dyDescent="0.45">
      <c r="D1762" s="47"/>
    </row>
    <row r="1763" spans="4:4" x14ac:dyDescent="0.45">
      <c r="D1763" s="47"/>
    </row>
    <row r="1764" spans="4:4" x14ac:dyDescent="0.45">
      <c r="D1764" s="47"/>
    </row>
    <row r="1765" spans="4:4" x14ac:dyDescent="0.45">
      <c r="D1765" s="47"/>
    </row>
    <row r="1766" spans="4:4" x14ac:dyDescent="0.45">
      <c r="D1766" s="47"/>
    </row>
    <row r="1767" spans="4:4" x14ac:dyDescent="0.45">
      <c r="D1767" s="47"/>
    </row>
    <row r="1768" spans="4:4" x14ac:dyDescent="0.45">
      <c r="D1768" s="47"/>
    </row>
    <row r="1769" spans="4:4" x14ac:dyDescent="0.45">
      <c r="D1769" s="47"/>
    </row>
    <row r="1770" spans="4:4" x14ac:dyDescent="0.45">
      <c r="D1770" s="47"/>
    </row>
    <row r="1771" spans="4:4" x14ac:dyDescent="0.45">
      <c r="D1771" s="47"/>
    </row>
    <row r="1772" spans="4:4" x14ac:dyDescent="0.45">
      <c r="D1772" s="47"/>
    </row>
    <row r="1773" spans="4:4" x14ac:dyDescent="0.45">
      <c r="D1773" s="47"/>
    </row>
    <row r="1774" spans="4:4" x14ac:dyDescent="0.45">
      <c r="D1774" s="47"/>
    </row>
    <row r="1775" spans="4:4" x14ac:dyDescent="0.45">
      <c r="D1775" s="47"/>
    </row>
    <row r="1776" spans="4:4" x14ac:dyDescent="0.45">
      <c r="D1776" s="47"/>
    </row>
    <row r="1777" spans="4:4" x14ac:dyDescent="0.45">
      <c r="D1777" s="47"/>
    </row>
    <row r="1778" spans="4:4" x14ac:dyDescent="0.45">
      <c r="D1778" s="47"/>
    </row>
    <row r="1779" spans="4:4" x14ac:dyDescent="0.45">
      <c r="D1779" s="47"/>
    </row>
    <row r="1780" spans="4:4" x14ac:dyDescent="0.45">
      <c r="D1780" s="47"/>
    </row>
    <row r="1781" spans="4:4" x14ac:dyDescent="0.45">
      <c r="D1781" s="47"/>
    </row>
    <row r="1782" spans="4:4" x14ac:dyDescent="0.45">
      <c r="D1782" s="47"/>
    </row>
    <row r="1783" spans="4:4" x14ac:dyDescent="0.45">
      <c r="D1783" s="47"/>
    </row>
    <row r="1784" spans="4:4" x14ac:dyDescent="0.45">
      <c r="D1784" s="47"/>
    </row>
    <row r="1785" spans="4:4" x14ac:dyDescent="0.45">
      <c r="D1785" s="47"/>
    </row>
    <row r="1786" spans="4:4" x14ac:dyDescent="0.45">
      <c r="D1786" s="47"/>
    </row>
    <row r="1787" spans="4:4" x14ac:dyDescent="0.45">
      <c r="D1787" s="47"/>
    </row>
    <row r="1788" spans="4:4" x14ac:dyDescent="0.45">
      <c r="D1788" s="47"/>
    </row>
    <row r="1789" spans="4:4" x14ac:dyDescent="0.45">
      <c r="D1789" s="47"/>
    </row>
    <row r="1790" spans="4:4" x14ac:dyDescent="0.45">
      <c r="D1790" s="47"/>
    </row>
    <row r="1791" spans="4:4" x14ac:dyDescent="0.45">
      <c r="D1791" s="47"/>
    </row>
    <row r="1792" spans="4:4" x14ac:dyDescent="0.45">
      <c r="D1792" s="47"/>
    </row>
    <row r="1793" spans="4:4" x14ac:dyDescent="0.45">
      <c r="D1793" s="47"/>
    </row>
    <row r="1794" spans="4:4" x14ac:dyDescent="0.45">
      <c r="D1794" s="47"/>
    </row>
    <row r="1795" spans="4:4" x14ac:dyDescent="0.45">
      <c r="D1795" s="47"/>
    </row>
    <row r="1796" spans="4:4" x14ac:dyDescent="0.45">
      <c r="D1796" s="47"/>
    </row>
    <row r="1797" spans="4:4" x14ac:dyDescent="0.45">
      <c r="D1797" s="47"/>
    </row>
    <row r="1798" spans="4:4" x14ac:dyDescent="0.45">
      <c r="D1798" s="47"/>
    </row>
    <row r="1799" spans="4:4" x14ac:dyDescent="0.45">
      <c r="D1799" s="47"/>
    </row>
    <row r="1800" spans="4:4" x14ac:dyDescent="0.45">
      <c r="D1800" s="47"/>
    </row>
    <row r="1801" spans="4:4" x14ac:dyDescent="0.45">
      <c r="D1801" s="47"/>
    </row>
    <row r="1802" spans="4:4" x14ac:dyDescent="0.45">
      <c r="D1802" s="47"/>
    </row>
    <row r="1803" spans="4:4" x14ac:dyDescent="0.45">
      <c r="D1803" s="47"/>
    </row>
    <row r="1804" spans="4:4" x14ac:dyDescent="0.45">
      <c r="D1804" s="47"/>
    </row>
    <row r="1805" spans="4:4" x14ac:dyDescent="0.45">
      <c r="D1805" s="47"/>
    </row>
    <row r="1806" spans="4:4" x14ac:dyDescent="0.45">
      <c r="D1806" s="47"/>
    </row>
    <row r="1807" spans="4:4" x14ac:dyDescent="0.45">
      <c r="D1807" s="47"/>
    </row>
    <row r="1808" spans="4:4" x14ac:dyDescent="0.45">
      <c r="D1808" s="47"/>
    </row>
    <row r="1809" spans="4:4" x14ac:dyDescent="0.45">
      <c r="D1809" s="47"/>
    </row>
    <row r="1810" spans="4:4" x14ac:dyDescent="0.45">
      <c r="D1810" s="47"/>
    </row>
    <row r="1811" spans="4:4" x14ac:dyDescent="0.45">
      <c r="D1811" s="47"/>
    </row>
    <row r="1812" spans="4:4" x14ac:dyDescent="0.45">
      <c r="D1812" s="47"/>
    </row>
    <row r="1813" spans="4:4" x14ac:dyDescent="0.45">
      <c r="D1813" s="47"/>
    </row>
    <row r="1814" spans="4:4" x14ac:dyDescent="0.45">
      <c r="D1814" s="47"/>
    </row>
    <row r="1815" spans="4:4" x14ac:dyDescent="0.45">
      <c r="D1815" s="47"/>
    </row>
    <row r="1816" spans="4:4" x14ac:dyDescent="0.45">
      <c r="D1816" s="47"/>
    </row>
    <row r="1817" spans="4:4" x14ac:dyDescent="0.45">
      <c r="D1817" s="47"/>
    </row>
    <row r="1818" spans="4:4" x14ac:dyDescent="0.45">
      <c r="D1818" s="47"/>
    </row>
    <row r="1819" spans="4:4" x14ac:dyDescent="0.45">
      <c r="D1819" s="47"/>
    </row>
    <row r="1820" spans="4:4" x14ac:dyDescent="0.45">
      <c r="D1820" s="47"/>
    </row>
    <row r="1821" spans="4:4" x14ac:dyDescent="0.45">
      <c r="D1821" s="47"/>
    </row>
    <row r="1822" spans="4:4" x14ac:dyDescent="0.45">
      <c r="D1822" s="47"/>
    </row>
    <row r="1823" spans="4:4" x14ac:dyDescent="0.45">
      <c r="D1823" s="47"/>
    </row>
    <row r="1824" spans="4:4" x14ac:dyDescent="0.45">
      <c r="D1824" s="47"/>
    </row>
    <row r="1825" spans="4:4" x14ac:dyDescent="0.45">
      <c r="D1825" s="47"/>
    </row>
    <row r="1826" spans="4:4" x14ac:dyDescent="0.45">
      <c r="D1826" s="47"/>
    </row>
    <row r="1827" spans="4:4" x14ac:dyDescent="0.45">
      <c r="D1827" s="47"/>
    </row>
    <row r="1828" spans="4:4" x14ac:dyDescent="0.45">
      <c r="D1828" s="47"/>
    </row>
    <row r="1829" spans="4:4" x14ac:dyDescent="0.45">
      <c r="D1829" s="47"/>
    </row>
    <row r="1830" spans="4:4" x14ac:dyDescent="0.45">
      <c r="D1830" s="47"/>
    </row>
    <row r="1831" spans="4:4" x14ac:dyDescent="0.45">
      <c r="D1831" s="47"/>
    </row>
    <row r="1832" spans="4:4" x14ac:dyDescent="0.45">
      <c r="D1832" s="47"/>
    </row>
    <row r="1833" spans="4:4" x14ac:dyDescent="0.45">
      <c r="D1833" s="47"/>
    </row>
    <row r="1834" spans="4:4" x14ac:dyDescent="0.45">
      <c r="D1834" s="47"/>
    </row>
    <row r="1835" spans="4:4" x14ac:dyDescent="0.45">
      <c r="D1835" s="47"/>
    </row>
    <row r="1836" spans="4:4" x14ac:dyDescent="0.45">
      <c r="D1836" s="47"/>
    </row>
    <row r="1837" spans="4:4" x14ac:dyDescent="0.45">
      <c r="D1837" s="47"/>
    </row>
    <row r="1838" spans="4:4" x14ac:dyDescent="0.45">
      <c r="D1838" s="47"/>
    </row>
    <row r="1839" spans="4:4" x14ac:dyDescent="0.45">
      <c r="D1839" s="47"/>
    </row>
    <row r="1840" spans="4:4" x14ac:dyDescent="0.45">
      <c r="D1840" s="47"/>
    </row>
    <row r="1841" spans="4:4" x14ac:dyDescent="0.45">
      <c r="D1841" s="47"/>
    </row>
    <row r="1842" spans="4:4" x14ac:dyDescent="0.45">
      <c r="D1842" s="47"/>
    </row>
    <row r="1843" spans="4:4" x14ac:dyDescent="0.45">
      <c r="D1843" s="47"/>
    </row>
    <row r="1844" spans="4:4" x14ac:dyDescent="0.45">
      <c r="D1844" s="47"/>
    </row>
    <row r="1845" spans="4:4" x14ac:dyDescent="0.45">
      <c r="D1845" s="47"/>
    </row>
    <row r="1846" spans="4:4" x14ac:dyDescent="0.45">
      <c r="D1846" s="47"/>
    </row>
    <row r="1847" spans="4:4" x14ac:dyDescent="0.45">
      <c r="D1847" s="47"/>
    </row>
    <row r="1848" spans="4:4" x14ac:dyDescent="0.45">
      <c r="D1848" s="47"/>
    </row>
    <row r="1849" spans="4:4" x14ac:dyDescent="0.45">
      <c r="D1849" s="47"/>
    </row>
    <row r="1850" spans="4:4" x14ac:dyDescent="0.45">
      <c r="D1850" s="47"/>
    </row>
    <row r="1851" spans="4:4" x14ac:dyDescent="0.45">
      <c r="D1851" s="47"/>
    </row>
    <row r="1852" spans="4:4" x14ac:dyDescent="0.45">
      <c r="D1852" s="47"/>
    </row>
    <row r="1853" spans="4:4" x14ac:dyDescent="0.45">
      <c r="D1853" s="47"/>
    </row>
    <row r="1854" spans="4:4" x14ac:dyDescent="0.45">
      <c r="D1854" s="47"/>
    </row>
    <row r="1855" spans="4:4" x14ac:dyDescent="0.45">
      <c r="D1855" s="47"/>
    </row>
    <row r="1856" spans="4:4" x14ac:dyDescent="0.45">
      <c r="D1856" s="47"/>
    </row>
    <row r="1857" spans="4:4" x14ac:dyDescent="0.45">
      <c r="D1857" s="47"/>
    </row>
    <row r="1858" spans="4:4" x14ac:dyDescent="0.45">
      <c r="D1858" s="47"/>
    </row>
    <row r="1859" spans="4:4" x14ac:dyDescent="0.45">
      <c r="D1859" s="47"/>
    </row>
    <row r="1860" spans="4:4" x14ac:dyDescent="0.45">
      <c r="D1860" s="47"/>
    </row>
    <row r="1861" spans="4:4" x14ac:dyDescent="0.45">
      <c r="D1861" s="47"/>
    </row>
    <row r="1862" spans="4:4" x14ac:dyDescent="0.45">
      <c r="D1862" s="47"/>
    </row>
    <row r="1863" spans="4:4" x14ac:dyDescent="0.45">
      <c r="D1863" s="47"/>
    </row>
    <row r="1864" spans="4:4" x14ac:dyDescent="0.45">
      <c r="D1864" s="47"/>
    </row>
    <row r="1865" spans="4:4" x14ac:dyDescent="0.45">
      <c r="D1865" s="47"/>
    </row>
    <row r="1866" spans="4:4" x14ac:dyDescent="0.45">
      <c r="D1866" s="47"/>
    </row>
    <row r="1867" spans="4:4" x14ac:dyDescent="0.45">
      <c r="D1867" s="47"/>
    </row>
    <row r="1868" spans="4:4" x14ac:dyDescent="0.45">
      <c r="D1868" s="47"/>
    </row>
    <row r="1869" spans="4:4" x14ac:dyDescent="0.45">
      <c r="D1869" s="47"/>
    </row>
    <row r="1870" spans="4:4" x14ac:dyDescent="0.45">
      <c r="D1870" s="47"/>
    </row>
    <row r="1871" spans="4:4" x14ac:dyDescent="0.45">
      <c r="D1871" s="47"/>
    </row>
    <row r="1872" spans="4:4" x14ac:dyDescent="0.45">
      <c r="D1872" s="47"/>
    </row>
    <row r="1873" spans="4:4" x14ac:dyDescent="0.45">
      <c r="D1873" s="47"/>
    </row>
    <row r="1874" spans="4:4" x14ac:dyDescent="0.45">
      <c r="D1874" s="47"/>
    </row>
    <row r="1875" spans="4:4" x14ac:dyDescent="0.45">
      <c r="D1875" s="47"/>
    </row>
    <row r="1876" spans="4:4" x14ac:dyDescent="0.45">
      <c r="D1876" s="47"/>
    </row>
    <row r="1877" spans="4:4" x14ac:dyDescent="0.45">
      <c r="D1877" s="47"/>
    </row>
    <row r="1878" spans="4:4" x14ac:dyDescent="0.45">
      <c r="D1878" s="47"/>
    </row>
    <row r="1879" spans="4:4" x14ac:dyDescent="0.45">
      <c r="D1879" s="47"/>
    </row>
    <row r="1880" spans="4:4" x14ac:dyDescent="0.45">
      <c r="D1880" s="47"/>
    </row>
    <row r="1881" spans="4:4" x14ac:dyDescent="0.45">
      <c r="D1881" s="47"/>
    </row>
    <row r="1882" spans="4:4" x14ac:dyDescent="0.45">
      <c r="D1882" s="47"/>
    </row>
    <row r="1883" spans="4:4" x14ac:dyDescent="0.45">
      <c r="D1883" s="47"/>
    </row>
    <row r="1884" spans="4:4" x14ac:dyDescent="0.45">
      <c r="D1884" s="47"/>
    </row>
    <row r="1885" spans="4:4" x14ac:dyDescent="0.45">
      <c r="D1885" s="47"/>
    </row>
    <row r="1886" spans="4:4" x14ac:dyDescent="0.45">
      <c r="D1886" s="47"/>
    </row>
    <row r="1887" spans="4:4" x14ac:dyDescent="0.45">
      <c r="D1887" s="47"/>
    </row>
    <row r="1888" spans="4:4" x14ac:dyDescent="0.45">
      <c r="D1888" s="47"/>
    </row>
    <row r="1889" spans="4:4" x14ac:dyDescent="0.45">
      <c r="D1889" s="47"/>
    </row>
    <row r="1890" spans="4:4" x14ac:dyDescent="0.45">
      <c r="D1890" s="47"/>
    </row>
    <row r="1891" spans="4:4" x14ac:dyDescent="0.45">
      <c r="D1891" s="47"/>
    </row>
    <row r="1892" spans="4:4" x14ac:dyDescent="0.45">
      <c r="D1892" s="47"/>
    </row>
    <row r="1893" spans="4:4" x14ac:dyDescent="0.45">
      <c r="D1893" s="47"/>
    </row>
    <row r="1894" spans="4:4" x14ac:dyDescent="0.45">
      <c r="D1894" s="47"/>
    </row>
    <row r="1895" spans="4:4" x14ac:dyDescent="0.45">
      <c r="D1895" s="47"/>
    </row>
    <row r="1896" spans="4:4" x14ac:dyDescent="0.45">
      <c r="D1896" s="47"/>
    </row>
    <row r="1897" spans="4:4" x14ac:dyDescent="0.45">
      <c r="D1897" s="47"/>
    </row>
    <row r="1898" spans="4:4" x14ac:dyDescent="0.45">
      <c r="D1898" s="47"/>
    </row>
    <row r="1899" spans="4:4" x14ac:dyDescent="0.45">
      <c r="D1899" s="47"/>
    </row>
    <row r="1900" spans="4:4" x14ac:dyDescent="0.45">
      <c r="D1900" s="47"/>
    </row>
    <row r="1901" spans="4:4" x14ac:dyDescent="0.45">
      <c r="D1901" s="47"/>
    </row>
    <row r="1902" spans="4:4" x14ac:dyDescent="0.45">
      <c r="D1902" s="47"/>
    </row>
    <row r="1903" spans="4:4" x14ac:dyDescent="0.45">
      <c r="D1903" s="47"/>
    </row>
    <row r="1904" spans="4:4" x14ac:dyDescent="0.45">
      <c r="D1904" s="47"/>
    </row>
    <row r="1905" spans="4:4" x14ac:dyDescent="0.45">
      <c r="D1905" s="47"/>
    </row>
    <row r="1906" spans="4:4" x14ac:dyDescent="0.45">
      <c r="D1906" s="47"/>
    </row>
    <row r="1907" spans="4:4" x14ac:dyDescent="0.45">
      <c r="D1907" s="47"/>
    </row>
    <row r="1908" spans="4:4" x14ac:dyDescent="0.45">
      <c r="D1908" s="47"/>
    </row>
    <row r="1909" spans="4:4" x14ac:dyDescent="0.45">
      <c r="D1909" s="47"/>
    </row>
    <row r="1910" spans="4:4" x14ac:dyDescent="0.45">
      <c r="D1910" s="47"/>
    </row>
    <row r="1911" spans="4:4" x14ac:dyDescent="0.45">
      <c r="D1911" s="47"/>
    </row>
    <row r="1912" spans="4:4" x14ac:dyDescent="0.45">
      <c r="D1912" s="47"/>
    </row>
    <row r="1913" spans="4:4" x14ac:dyDescent="0.45">
      <c r="D1913" s="47"/>
    </row>
    <row r="1914" spans="4:4" x14ac:dyDescent="0.45">
      <c r="D1914" s="47"/>
    </row>
    <row r="1915" spans="4:4" x14ac:dyDescent="0.45">
      <c r="D1915" s="47"/>
    </row>
    <row r="1916" spans="4:4" x14ac:dyDescent="0.45">
      <c r="D1916" s="47"/>
    </row>
    <row r="1917" spans="4:4" x14ac:dyDescent="0.45">
      <c r="D1917" s="47"/>
    </row>
    <row r="1918" spans="4:4" x14ac:dyDescent="0.45">
      <c r="D1918" s="47"/>
    </row>
    <row r="1919" spans="4:4" x14ac:dyDescent="0.45">
      <c r="D1919" s="47"/>
    </row>
    <row r="1920" spans="4:4" x14ac:dyDescent="0.45">
      <c r="D1920" s="47"/>
    </row>
    <row r="1921" spans="4:4" x14ac:dyDescent="0.45">
      <c r="D1921" s="47"/>
    </row>
    <row r="1922" spans="4:4" x14ac:dyDescent="0.45">
      <c r="D1922" s="47"/>
    </row>
    <row r="1923" spans="4:4" x14ac:dyDescent="0.45">
      <c r="D1923" s="47"/>
    </row>
    <row r="1924" spans="4:4" x14ac:dyDescent="0.45">
      <c r="D1924" s="47"/>
    </row>
    <row r="1925" spans="4:4" x14ac:dyDescent="0.45">
      <c r="D1925" s="47"/>
    </row>
    <row r="1926" spans="4:4" x14ac:dyDescent="0.45">
      <c r="D1926" s="47"/>
    </row>
    <row r="1927" spans="4:4" x14ac:dyDescent="0.45">
      <c r="D1927" s="47"/>
    </row>
    <row r="1928" spans="4:4" x14ac:dyDescent="0.45">
      <c r="D1928" s="47"/>
    </row>
    <row r="1929" spans="4:4" x14ac:dyDescent="0.45">
      <c r="D1929" s="47"/>
    </row>
    <row r="1930" spans="4:4" x14ac:dyDescent="0.45">
      <c r="D1930" s="47"/>
    </row>
    <row r="1931" spans="4:4" x14ac:dyDescent="0.45">
      <c r="D1931" s="47"/>
    </row>
    <row r="1932" spans="4:4" x14ac:dyDescent="0.45">
      <c r="D1932" s="47"/>
    </row>
    <row r="1933" spans="4:4" x14ac:dyDescent="0.45">
      <c r="D1933" s="47"/>
    </row>
    <row r="1934" spans="4:4" x14ac:dyDescent="0.45">
      <c r="D1934" s="47"/>
    </row>
    <row r="1935" spans="4:4" x14ac:dyDescent="0.45">
      <c r="D1935" s="47"/>
    </row>
    <row r="1936" spans="4:4" x14ac:dyDescent="0.45">
      <c r="D1936" s="47"/>
    </row>
    <row r="1937" spans="4:4" x14ac:dyDescent="0.45">
      <c r="D1937" s="47"/>
    </row>
    <row r="1938" spans="4:4" x14ac:dyDescent="0.45">
      <c r="D1938" s="47"/>
    </row>
    <row r="1939" spans="4:4" x14ac:dyDescent="0.45">
      <c r="D1939" s="47"/>
    </row>
    <row r="1940" spans="4:4" x14ac:dyDescent="0.45">
      <c r="D1940" s="47"/>
    </row>
    <row r="1941" spans="4:4" x14ac:dyDescent="0.45">
      <c r="D1941" s="47"/>
    </row>
    <row r="1942" spans="4:4" x14ac:dyDescent="0.45">
      <c r="D1942" s="47"/>
    </row>
    <row r="1943" spans="4:4" x14ac:dyDescent="0.45">
      <c r="D1943" s="47"/>
    </row>
    <row r="1944" spans="4:4" x14ac:dyDescent="0.45">
      <c r="D1944" s="47"/>
    </row>
    <row r="1945" spans="4:4" x14ac:dyDescent="0.45">
      <c r="D1945" s="47"/>
    </row>
    <row r="1946" spans="4:4" x14ac:dyDescent="0.45">
      <c r="D1946" s="47"/>
    </row>
    <row r="1947" spans="4:4" x14ac:dyDescent="0.45">
      <c r="D1947" s="47"/>
    </row>
    <row r="1948" spans="4:4" x14ac:dyDescent="0.45">
      <c r="D1948" s="47"/>
    </row>
    <row r="1949" spans="4:4" x14ac:dyDescent="0.45">
      <c r="D1949" s="47"/>
    </row>
    <row r="1950" spans="4:4" x14ac:dyDescent="0.45">
      <c r="D1950" s="47"/>
    </row>
    <row r="1951" spans="4:4" x14ac:dyDescent="0.45">
      <c r="D1951" s="47"/>
    </row>
    <row r="1952" spans="4:4" x14ac:dyDescent="0.45">
      <c r="D1952" s="47"/>
    </row>
    <row r="1953" spans="4:4" x14ac:dyDescent="0.45">
      <c r="D1953" s="47"/>
    </row>
    <row r="1954" spans="4:4" x14ac:dyDescent="0.45">
      <c r="D1954" s="47"/>
    </row>
    <row r="1955" spans="4:4" x14ac:dyDescent="0.45">
      <c r="D1955" s="47"/>
    </row>
    <row r="1956" spans="4:4" x14ac:dyDescent="0.45">
      <c r="D1956" s="47"/>
    </row>
    <row r="1957" spans="4:4" x14ac:dyDescent="0.45">
      <c r="D1957" s="47"/>
    </row>
    <row r="1958" spans="4:4" x14ac:dyDescent="0.45">
      <c r="D1958" s="47"/>
    </row>
    <row r="1959" spans="4:4" x14ac:dyDescent="0.45">
      <c r="D1959" s="47"/>
    </row>
    <row r="1960" spans="4:4" x14ac:dyDescent="0.45">
      <c r="D1960" s="47"/>
    </row>
    <row r="1961" spans="4:4" x14ac:dyDescent="0.45">
      <c r="D1961" s="47"/>
    </row>
    <row r="1962" spans="4:4" x14ac:dyDescent="0.45">
      <c r="D1962" s="47"/>
    </row>
    <row r="1963" spans="4:4" x14ac:dyDescent="0.45">
      <c r="D1963" s="47"/>
    </row>
    <row r="1964" spans="4:4" x14ac:dyDescent="0.45">
      <c r="D1964" s="47"/>
    </row>
    <row r="1965" spans="4:4" x14ac:dyDescent="0.45">
      <c r="D1965" s="47"/>
    </row>
    <row r="1966" spans="4:4" x14ac:dyDescent="0.45">
      <c r="D1966" s="47"/>
    </row>
    <row r="1967" spans="4:4" x14ac:dyDescent="0.45">
      <c r="D1967" s="47"/>
    </row>
    <row r="1968" spans="4:4" x14ac:dyDescent="0.45">
      <c r="D1968" s="47"/>
    </row>
    <row r="1969" spans="4:4" x14ac:dyDescent="0.45">
      <c r="D1969" s="47"/>
    </row>
    <row r="1970" spans="4:4" x14ac:dyDescent="0.45">
      <c r="D1970" s="47"/>
    </row>
    <row r="1971" spans="4:4" x14ac:dyDescent="0.45">
      <c r="D1971" s="47"/>
    </row>
    <row r="1972" spans="4:4" x14ac:dyDescent="0.45">
      <c r="D1972" s="47"/>
    </row>
    <row r="1973" spans="4:4" x14ac:dyDescent="0.45">
      <c r="D1973" s="47"/>
    </row>
    <row r="1974" spans="4:4" x14ac:dyDescent="0.45">
      <c r="D1974" s="47"/>
    </row>
    <row r="1975" spans="4:4" x14ac:dyDescent="0.45">
      <c r="D1975" s="47"/>
    </row>
    <row r="1976" spans="4:4" x14ac:dyDescent="0.45">
      <c r="D1976" s="47"/>
    </row>
    <row r="1977" spans="4:4" x14ac:dyDescent="0.45">
      <c r="D1977" s="47"/>
    </row>
    <row r="1978" spans="4:4" x14ac:dyDescent="0.45">
      <c r="D1978" s="47"/>
    </row>
    <row r="1979" spans="4:4" x14ac:dyDescent="0.45">
      <c r="D1979" s="47"/>
    </row>
    <row r="1980" spans="4:4" x14ac:dyDescent="0.45">
      <c r="D1980" s="47"/>
    </row>
    <row r="1981" spans="4:4" x14ac:dyDescent="0.45">
      <c r="D1981" s="47"/>
    </row>
    <row r="1982" spans="4:4" x14ac:dyDescent="0.45">
      <c r="D1982" s="47"/>
    </row>
    <row r="1983" spans="4:4" x14ac:dyDescent="0.45">
      <c r="D1983" s="47"/>
    </row>
    <row r="1984" spans="4:4" x14ac:dyDescent="0.45">
      <c r="D1984" s="47"/>
    </row>
    <row r="1985" spans="4:4" x14ac:dyDescent="0.45">
      <c r="D1985" s="47"/>
    </row>
    <row r="1986" spans="4:4" x14ac:dyDescent="0.45">
      <c r="D1986" s="47"/>
    </row>
    <row r="1987" spans="4:4" x14ac:dyDescent="0.45">
      <c r="D1987" s="47"/>
    </row>
    <row r="1988" spans="4:4" x14ac:dyDescent="0.45">
      <c r="D1988" s="47"/>
    </row>
    <row r="1989" spans="4:4" x14ac:dyDescent="0.45">
      <c r="D1989" s="47"/>
    </row>
    <row r="1990" spans="4:4" x14ac:dyDescent="0.45">
      <c r="D1990" s="47"/>
    </row>
    <row r="1991" spans="4:4" x14ac:dyDescent="0.45">
      <c r="D1991" s="47"/>
    </row>
    <row r="1992" spans="4:4" x14ac:dyDescent="0.45">
      <c r="D1992" s="47"/>
    </row>
    <row r="1993" spans="4:4" x14ac:dyDescent="0.45">
      <c r="D1993" s="47"/>
    </row>
    <row r="1994" spans="4:4" x14ac:dyDescent="0.45">
      <c r="D1994" s="47"/>
    </row>
    <row r="1995" spans="4:4" x14ac:dyDescent="0.45">
      <c r="D1995" s="47"/>
    </row>
    <row r="1996" spans="4:4" x14ac:dyDescent="0.45">
      <c r="D1996" s="47"/>
    </row>
    <row r="1997" spans="4:4" x14ac:dyDescent="0.45">
      <c r="D1997" s="47"/>
    </row>
    <row r="1998" spans="4:4" x14ac:dyDescent="0.45">
      <c r="D1998" s="47"/>
    </row>
    <row r="1999" spans="4:4" x14ac:dyDescent="0.45">
      <c r="D1999" s="47"/>
    </row>
    <row r="2000" spans="4:4" x14ac:dyDescent="0.45">
      <c r="D2000" s="47"/>
    </row>
    <row r="2001" spans="4:4" x14ac:dyDescent="0.45">
      <c r="D2001" s="47"/>
    </row>
    <row r="2002" spans="4:4" x14ac:dyDescent="0.45">
      <c r="D2002" s="47"/>
    </row>
    <row r="2003" spans="4:4" x14ac:dyDescent="0.45">
      <c r="D2003" s="47"/>
    </row>
    <row r="2004" spans="4:4" x14ac:dyDescent="0.45">
      <c r="D2004" s="47"/>
    </row>
    <row r="2005" spans="4:4" x14ac:dyDescent="0.45">
      <c r="D2005" s="47"/>
    </row>
    <row r="2006" spans="4:4" x14ac:dyDescent="0.45">
      <c r="D2006" s="47"/>
    </row>
    <row r="2007" spans="4:4" x14ac:dyDescent="0.45">
      <c r="D2007" s="47"/>
    </row>
    <row r="2008" spans="4:4" x14ac:dyDescent="0.45">
      <c r="D2008" s="47"/>
    </row>
    <row r="2009" spans="4:4" x14ac:dyDescent="0.45">
      <c r="D2009" s="47"/>
    </row>
    <row r="2010" spans="4:4" x14ac:dyDescent="0.45">
      <c r="D2010" s="47"/>
    </row>
    <row r="2011" spans="4:4" x14ac:dyDescent="0.45">
      <c r="D2011" s="47"/>
    </row>
    <row r="2012" spans="4:4" x14ac:dyDescent="0.45">
      <c r="D2012" s="47"/>
    </row>
    <row r="2013" spans="4:4" x14ac:dyDescent="0.45">
      <c r="D2013" s="47"/>
    </row>
    <row r="2014" spans="4:4" x14ac:dyDescent="0.45">
      <c r="D2014" s="47"/>
    </row>
    <row r="2015" spans="4:4" x14ac:dyDescent="0.45">
      <c r="D2015" s="47"/>
    </row>
    <row r="2016" spans="4:4" x14ac:dyDescent="0.45">
      <c r="D2016" s="47"/>
    </row>
    <row r="2017" spans="4:4" x14ac:dyDescent="0.45">
      <c r="D2017" s="47"/>
    </row>
    <row r="2018" spans="4:4" x14ac:dyDescent="0.45">
      <c r="D2018" s="47"/>
    </row>
    <row r="2019" spans="4:4" x14ac:dyDescent="0.45">
      <c r="D2019" s="47"/>
    </row>
    <row r="2020" spans="4:4" x14ac:dyDescent="0.45">
      <c r="D2020" s="47"/>
    </row>
    <row r="2021" spans="4:4" x14ac:dyDescent="0.45">
      <c r="D2021" s="47"/>
    </row>
    <row r="2022" spans="4:4" x14ac:dyDescent="0.45">
      <c r="D2022" s="47"/>
    </row>
    <row r="2023" spans="4:4" x14ac:dyDescent="0.45">
      <c r="D2023" s="47"/>
    </row>
    <row r="2024" spans="4:4" x14ac:dyDescent="0.45">
      <c r="D2024" s="47"/>
    </row>
    <row r="2025" spans="4:4" x14ac:dyDescent="0.45">
      <c r="D2025" s="47"/>
    </row>
    <row r="2026" spans="4:4" x14ac:dyDescent="0.45">
      <c r="D2026" s="47"/>
    </row>
    <row r="2027" spans="4:4" x14ac:dyDescent="0.45">
      <c r="D2027" s="47"/>
    </row>
    <row r="2028" spans="4:4" x14ac:dyDescent="0.45">
      <c r="D2028" s="47"/>
    </row>
    <row r="2029" spans="4:4" x14ac:dyDescent="0.45">
      <c r="D2029" s="47"/>
    </row>
    <row r="2030" spans="4:4" x14ac:dyDescent="0.45">
      <c r="D2030" s="47"/>
    </row>
    <row r="2031" spans="4:4" x14ac:dyDescent="0.45">
      <c r="D2031" s="47"/>
    </row>
    <row r="2032" spans="4:4" x14ac:dyDescent="0.45">
      <c r="D2032" s="47"/>
    </row>
    <row r="2033" spans="4:4" x14ac:dyDescent="0.45">
      <c r="D2033" s="47"/>
    </row>
    <row r="2034" spans="4:4" x14ac:dyDescent="0.45">
      <c r="D2034" s="47"/>
    </row>
    <row r="2035" spans="4:4" x14ac:dyDescent="0.45">
      <c r="D2035" s="47"/>
    </row>
    <row r="2036" spans="4:4" x14ac:dyDescent="0.45">
      <c r="D2036" s="47"/>
    </row>
    <row r="2037" spans="4:4" x14ac:dyDescent="0.45">
      <c r="D2037" s="47"/>
    </row>
    <row r="2038" spans="4:4" x14ac:dyDescent="0.45">
      <c r="D2038" s="47"/>
    </row>
    <row r="2039" spans="4:4" x14ac:dyDescent="0.45">
      <c r="D2039" s="47"/>
    </row>
    <row r="2040" spans="4:4" x14ac:dyDescent="0.45">
      <c r="D2040" s="47"/>
    </row>
    <row r="2041" spans="4:4" x14ac:dyDescent="0.45">
      <c r="D2041" s="47"/>
    </row>
    <row r="2042" spans="4:4" x14ac:dyDescent="0.45">
      <c r="D2042" s="47"/>
    </row>
    <row r="2043" spans="4:4" x14ac:dyDescent="0.45">
      <c r="D2043" s="47"/>
    </row>
    <row r="2044" spans="4:4" x14ac:dyDescent="0.45">
      <c r="D2044" s="47"/>
    </row>
    <row r="2045" spans="4:4" x14ac:dyDescent="0.45">
      <c r="D2045" s="47"/>
    </row>
    <row r="2046" spans="4:4" x14ac:dyDescent="0.45">
      <c r="D2046" s="47"/>
    </row>
    <row r="2047" spans="4:4" x14ac:dyDescent="0.45">
      <c r="D2047" s="47"/>
    </row>
    <row r="2048" spans="4:4" x14ac:dyDescent="0.45">
      <c r="D2048" s="47"/>
    </row>
    <row r="2049" spans="4:4" x14ac:dyDescent="0.45">
      <c r="D2049" s="47"/>
    </row>
    <row r="2050" spans="4:4" x14ac:dyDescent="0.45">
      <c r="D2050" s="47"/>
    </row>
    <row r="2051" spans="4:4" x14ac:dyDescent="0.45">
      <c r="D2051" s="47"/>
    </row>
    <row r="2052" spans="4:4" x14ac:dyDescent="0.45">
      <c r="D2052" s="47"/>
    </row>
    <row r="2053" spans="4:4" x14ac:dyDescent="0.45">
      <c r="D2053" s="47"/>
    </row>
    <row r="2054" spans="4:4" x14ac:dyDescent="0.45">
      <c r="D2054" s="47"/>
    </row>
    <row r="2055" spans="4:4" x14ac:dyDescent="0.45">
      <c r="D2055" s="47"/>
    </row>
    <row r="2056" spans="4:4" x14ac:dyDescent="0.45">
      <c r="D2056" s="47"/>
    </row>
    <row r="2057" spans="4:4" x14ac:dyDescent="0.45">
      <c r="D2057" s="47"/>
    </row>
    <row r="2058" spans="4:4" x14ac:dyDescent="0.45">
      <c r="D2058" s="47"/>
    </row>
    <row r="2059" spans="4:4" x14ac:dyDescent="0.45">
      <c r="D2059" s="47"/>
    </row>
    <row r="2060" spans="4:4" x14ac:dyDescent="0.45">
      <c r="D2060" s="47"/>
    </row>
    <row r="2061" spans="4:4" x14ac:dyDescent="0.45">
      <c r="D2061" s="47"/>
    </row>
    <row r="2062" spans="4:4" x14ac:dyDescent="0.45">
      <c r="D2062" s="47"/>
    </row>
    <row r="2063" spans="4:4" x14ac:dyDescent="0.45">
      <c r="D2063" s="47"/>
    </row>
    <row r="2064" spans="4:4" x14ac:dyDescent="0.45">
      <c r="D2064" s="47"/>
    </row>
    <row r="2065" spans="4:4" x14ac:dyDescent="0.45">
      <c r="D2065" s="47"/>
    </row>
    <row r="2066" spans="4:4" x14ac:dyDescent="0.45">
      <c r="D2066" s="47"/>
    </row>
    <row r="2067" spans="4:4" x14ac:dyDescent="0.45">
      <c r="D2067" s="47"/>
    </row>
    <row r="2068" spans="4:4" x14ac:dyDescent="0.45">
      <c r="D2068" s="47"/>
    </row>
    <row r="2069" spans="4:4" x14ac:dyDescent="0.45">
      <c r="D2069" s="47"/>
    </row>
    <row r="2070" spans="4:4" x14ac:dyDescent="0.45">
      <c r="D2070" s="47"/>
    </row>
    <row r="2071" spans="4:4" x14ac:dyDescent="0.45">
      <c r="D2071" s="47"/>
    </row>
    <row r="2072" spans="4:4" x14ac:dyDescent="0.45">
      <c r="D2072" s="47"/>
    </row>
    <row r="2073" spans="4:4" x14ac:dyDescent="0.45">
      <c r="D2073" s="47"/>
    </row>
    <row r="2074" spans="4:4" x14ac:dyDescent="0.45">
      <c r="D2074" s="47"/>
    </row>
    <row r="2075" spans="4:4" x14ac:dyDescent="0.45">
      <c r="D2075" s="47"/>
    </row>
    <row r="2076" spans="4:4" x14ac:dyDescent="0.45">
      <c r="D2076" s="47"/>
    </row>
    <row r="2077" spans="4:4" x14ac:dyDescent="0.45">
      <c r="D2077" s="47"/>
    </row>
    <row r="2078" spans="4:4" x14ac:dyDescent="0.45">
      <c r="D2078" s="47"/>
    </row>
    <row r="2079" spans="4:4" x14ac:dyDescent="0.45">
      <c r="D2079" s="47"/>
    </row>
    <row r="2080" spans="4:4" x14ac:dyDescent="0.45">
      <c r="D2080" s="47"/>
    </row>
    <row r="2081" spans="4:4" x14ac:dyDescent="0.45">
      <c r="D2081" s="47"/>
    </row>
    <row r="2082" spans="4:4" x14ac:dyDescent="0.45">
      <c r="D2082" s="47"/>
    </row>
    <row r="2083" spans="4:4" x14ac:dyDescent="0.45">
      <c r="D2083" s="47"/>
    </row>
    <row r="2084" spans="4:4" x14ac:dyDescent="0.45">
      <c r="D2084" s="47"/>
    </row>
    <row r="2085" spans="4:4" x14ac:dyDescent="0.45">
      <c r="D2085" s="47"/>
    </row>
    <row r="2086" spans="4:4" x14ac:dyDescent="0.45">
      <c r="D2086" s="47"/>
    </row>
    <row r="2087" spans="4:4" x14ac:dyDescent="0.45">
      <c r="D2087" s="47"/>
    </row>
    <row r="2088" spans="4:4" x14ac:dyDescent="0.45">
      <c r="D2088" s="47"/>
    </row>
    <row r="2089" spans="4:4" x14ac:dyDescent="0.45">
      <c r="D2089" s="47"/>
    </row>
    <row r="2090" spans="4:4" x14ac:dyDescent="0.45">
      <c r="D2090" s="47"/>
    </row>
    <row r="2091" spans="4:4" x14ac:dyDescent="0.45">
      <c r="D2091" s="47"/>
    </row>
    <row r="2092" spans="4:4" x14ac:dyDescent="0.45">
      <c r="D2092" s="47"/>
    </row>
    <row r="2093" spans="4:4" x14ac:dyDescent="0.45">
      <c r="D2093" s="47"/>
    </row>
    <row r="2094" spans="4:4" x14ac:dyDescent="0.45">
      <c r="D2094" s="47"/>
    </row>
    <row r="2095" spans="4:4" x14ac:dyDescent="0.45">
      <c r="D2095" s="47"/>
    </row>
    <row r="2096" spans="4:4" x14ac:dyDescent="0.45">
      <c r="D2096" s="47"/>
    </row>
    <row r="2097" spans="4:4" x14ac:dyDescent="0.45">
      <c r="D2097" s="47"/>
    </row>
    <row r="2098" spans="4:4" x14ac:dyDescent="0.45">
      <c r="D2098" s="47"/>
    </row>
    <row r="2099" spans="4:4" x14ac:dyDescent="0.45">
      <c r="D2099" s="47"/>
    </row>
    <row r="2100" spans="4:4" x14ac:dyDescent="0.45">
      <c r="D2100" s="47"/>
    </row>
    <row r="2101" spans="4:4" x14ac:dyDescent="0.45">
      <c r="D2101" s="47"/>
    </row>
    <row r="2102" spans="4:4" x14ac:dyDescent="0.45">
      <c r="D2102" s="47"/>
    </row>
    <row r="2103" spans="4:4" x14ac:dyDescent="0.45">
      <c r="D2103" s="47"/>
    </row>
    <row r="2104" spans="4:4" x14ac:dyDescent="0.45">
      <c r="D2104" s="47"/>
    </row>
    <row r="2105" spans="4:4" x14ac:dyDescent="0.45">
      <c r="D2105" s="47"/>
    </row>
    <row r="2106" spans="4:4" x14ac:dyDescent="0.45">
      <c r="D2106" s="47"/>
    </row>
    <row r="2107" spans="4:4" x14ac:dyDescent="0.45">
      <c r="D2107" s="47"/>
    </row>
    <row r="2108" spans="4:4" x14ac:dyDescent="0.45">
      <c r="D2108" s="47"/>
    </row>
    <row r="2109" spans="4:4" x14ac:dyDescent="0.45">
      <c r="D2109" s="47"/>
    </row>
    <row r="2110" spans="4:4" x14ac:dyDescent="0.45">
      <c r="D2110" s="47"/>
    </row>
    <row r="2111" spans="4:4" x14ac:dyDescent="0.45">
      <c r="D2111" s="47"/>
    </row>
    <row r="2112" spans="4:4" x14ac:dyDescent="0.45">
      <c r="D2112" s="47"/>
    </row>
    <row r="2113" spans="4:4" x14ac:dyDescent="0.45">
      <c r="D2113" s="47"/>
    </row>
    <row r="2114" spans="4:4" x14ac:dyDescent="0.45">
      <c r="D2114" s="47"/>
    </row>
    <row r="2115" spans="4:4" x14ac:dyDescent="0.45">
      <c r="D2115" s="47"/>
    </row>
    <row r="2116" spans="4:4" x14ac:dyDescent="0.45">
      <c r="D2116" s="47"/>
    </row>
    <row r="2117" spans="4:4" x14ac:dyDescent="0.45">
      <c r="D2117" s="47"/>
    </row>
    <row r="2118" spans="4:4" x14ac:dyDescent="0.45">
      <c r="D2118" s="47"/>
    </row>
    <row r="2119" spans="4:4" x14ac:dyDescent="0.45">
      <c r="D2119" s="47"/>
    </row>
    <row r="2120" spans="4:4" x14ac:dyDescent="0.45">
      <c r="D2120" s="47"/>
    </row>
    <row r="2121" spans="4:4" x14ac:dyDescent="0.45">
      <c r="D2121" s="47"/>
    </row>
    <row r="2122" spans="4:4" x14ac:dyDescent="0.45">
      <c r="D2122" s="47"/>
    </row>
    <row r="2123" spans="4:4" x14ac:dyDescent="0.45">
      <c r="D2123" s="47"/>
    </row>
    <row r="2124" spans="4:4" x14ac:dyDescent="0.45">
      <c r="D2124" s="47"/>
    </row>
    <row r="2125" spans="4:4" x14ac:dyDescent="0.45">
      <c r="D2125" s="47"/>
    </row>
    <row r="2126" spans="4:4" x14ac:dyDescent="0.45">
      <c r="D2126" s="47"/>
    </row>
    <row r="2127" spans="4:4" x14ac:dyDescent="0.45">
      <c r="D2127" s="47"/>
    </row>
    <row r="2128" spans="4:4" x14ac:dyDescent="0.45">
      <c r="D2128" s="47"/>
    </row>
    <row r="2129" spans="4:4" x14ac:dyDescent="0.45">
      <c r="D2129" s="47"/>
    </row>
    <row r="2130" spans="4:4" x14ac:dyDescent="0.45">
      <c r="D2130" s="47"/>
    </row>
    <row r="2131" spans="4:4" x14ac:dyDescent="0.45">
      <c r="D2131" s="47"/>
    </row>
    <row r="2132" spans="4:4" x14ac:dyDescent="0.45">
      <c r="D2132" s="47"/>
    </row>
    <row r="2133" spans="4:4" x14ac:dyDescent="0.45">
      <c r="D2133" s="47"/>
    </row>
    <row r="2134" spans="4:4" x14ac:dyDescent="0.45">
      <c r="D2134" s="47"/>
    </row>
    <row r="2135" spans="4:4" x14ac:dyDescent="0.45">
      <c r="D2135" s="47"/>
    </row>
    <row r="2136" spans="4:4" x14ac:dyDescent="0.45">
      <c r="D2136" s="47"/>
    </row>
    <row r="2137" spans="4:4" x14ac:dyDescent="0.45">
      <c r="D2137" s="47"/>
    </row>
    <row r="2138" spans="4:4" x14ac:dyDescent="0.45">
      <c r="D2138" s="47"/>
    </row>
    <row r="2139" spans="4:4" x14ac:dyDescent="0.45">
      <c r="D2139" s="47"/>
    </row>
    <row r="2140" spans="4:4" x14ac:dyDescent="0.45">
      <c r="D2140" s="47"/>
    </row>
    <row r="2141" spans="4:4" x14ac:dyDescent="0.45">
      <c r="D2141" s="47"/>
    </row>
    <row r="2142" spans="4:4" x14ac:dyDescent="0.45">
      <c r="D2142" s="47"/>
    </row>
    <row r="2143" spans="4:4" x14ac:dyDescent="0.45">
      <c r="D2143" s="47"/>
    </row>
    <row r="2144" spans="4:4" x14ac:dyDescent="0.45">
      <c r="D2144" s="47"/>
    </row>
    <row r="2145" spans="4:4" x14ac:dyDescent="0.45">
      <c r="D2145" s="47"/>
    </row>
    <row r="2146" spans="4:4" x14ac:dyDescent="0.45">
      <c r="D2146" s="47"/>
    </row>
    <row r="2147" spans="4:4" x14ac:dyDescent="0.45">
      <c r="D2147" s="47"/>
    </row>
    <row r="2148" spans="4:4" x14ac:dyDescent="0.45">
      <c r="D2148" s="47"/>
    </row>
    <row r="2149" spans="4:4" x14ac:dyDescent="0.45">
      <c r="D2149" s="47"/>
    </row>
    <row r="2150" spans="4:4" x14ac:dyDescent="0.45">
      <c r="D2150" s="47"/>
    </row>
    <row r="2151" spans="4:4" x14ac:dyDescent="0.45">
      <c r="D2151" s="47"/>
    </row>
    <row r="2152" spans="4:4" x14ac:dyDescent="0.45">
      <c r="D2152" s="47"/>
    </row>
    <row r="2153" spans="4:4" x14ac:dyDescent="0.45">
      <c r="D2153" s="47"/>
    </row>
    <row r="2154" spans="4:4" x14ac:dyDescent="0.45">
      <c r="D2154" s="47"/>
    </row>
    <row r="2155" spans="4:4" x14ac:dyDescent="0.45">
      <c r="D2155" s="47"/>
    </row>
    <row r="2156" spans="4:4" x14ac:dyDescent="0.45">
      <c r="D2156" s="47"/>
    </row>
    <row r="2157" spans="4:4" x14ac:dyDescent="0.45">
      <c r="D2157" s="47"/>
    </row>
    <row r="2158" spans="4:4" x14ac:dyDescent="0.45">
      <c r="D2158" s="47"/>
    </row>
    <row r="2159" spans="4:4" x14ac:dyDescent="0.45">
      <c r="D2159" s="47"/>
    </row>
    <row r="2160" spans="4:4" x14ac:dyDescent="0.45">
      <c r="D2160" s="47"/>
    </row>
    <row r="2161" spans="4:4" x14ac:dyDescent="0.45">
      <c r="D2161" s="47"/>
    </row>
    <row r="2162" spans="4:4" x14ac:dyDescent="0.45">
      <c r="D2162" s="47"/>
    </row>
    <row r="2163" spans="4:4" x14ac:dyDescent="0.45">
      <c r="D2163" s="47"/>
    </row>
    <row r="2164" spans="4:4" x14ac:dyDescent="0.45">
      <c r="D2164" s="47"/>
    </row>
    <row r="2165" spans="4:4" x14ac:dyDescent="0.45">
      <c r="D2165" s="47"/>
    </row>
    <row r="2166" spans="4:4" x14ac:dyDescent="0.45">
      <c r="D2166" s="47"/>
    </row>
    <row r="2167" spans="4:4" x14ac:dyDescent="0.45">
      <c r="D2167" s="47"/>
    </row>
    <row r="2168" spans="4:4" x14ac:dyDescent="0.45">
      <c r="D2168" s="47"/>
    </row>
    <row r="2169" spans="4:4" x14ac:dyDescent="0.45">
      <c r="D2169" s="47"/>
    </row>
    <row r="2170" spans="4:4" x14ac:dyDescent="0.45">
      <c r="D2170" s="47"/>
    </row>
    <row r="2171" spans="4:4" x14ac:dyDescent="0.45">
      <c r="D2171" s="47"/>
    </row>
    <row r="2172" spans="4:4" x14ac:dyDescent="0.45">
      <c r="D2172" s="47"/>
    </row>
    <row r="2173" spans="4:4" x14ac:dyDescent="0.45">
      <c r="D2173" s="47"/>
    </row>
    <row r="2174" spans="4:4" x14ac:dyDescent="0.45">
      <c r="D2174" s="47"/>
    </row>
    <row r="2175" spans="4:4" x14ac:dyDescent="0.45">
      <c r="D2175" s="47"/>
    </row>
    <row r="2176" spans="4:4" x14ac:dyDescent="0.45">
      <c r="D2176" s="47"/>
    </row>
    <row r="2177" spans="4:4" x14ac:dyDescent="0.45">
      <c r="D2177" s="47"/>
    </row>
    <row r="2178" spans="4:4" x14ac:dyDescent="0.45">
      <c r="D2178" s="47"/>
    </row>
    <row r="2179" spans="4:4" x14ac:dyDescent="0.45">
      <c r="D2179" s="47"/>
    </row>
    <row r="2180" spans="4:4" x14ac:dyDescent="0.45">
      <c r="D2180" s="47"/>
    </row>
    <row r="2181" spans="4:4" x14ac:dyDescent="0.45">
      <c r="D2181" s="47"/>
    </row>
    <row r="2182" spans="4:4" x14ac:dyDescent="0.45">
      <c r="D2182" s="47"/>
    </row>
    <row r="2183" spans="4:4" x14ac:dyDescent="0.45">
      <c r="D2183" s="47"/>
    </row>
    <row r="2184" spans="4:4" x14ac:dyDescent="0.45">
      <c r="D2184" s="47"/>
    </row>
    <row r="2185" spans="4:4" x14ac:dyDescent="0.45">
      <c r="D2185" s="47"/>
    </row>
    <row r="2186" spans="4:4" x14ac:dyDescent="0.45">
      <c r="D2186" s="47"/>
    </row>
    <row r="2187" spans="4:4" x14ac:dyDescent="0.45">
      <c r="D2187" s="47"/>
    </row>
    <row r="2188" spans="4:4" x14ac:dyDescent="0.45">
      <c r="D2188" s="47"/>
    </row>
    <row r="2189" spans="4:4" x14ac:dyDescent="0.45">
      <c r="D2189" s="47"/>
    </row>
    <row r="2190" spans="4:4" x14ac:dyDescent="0.45">
      <c r="D2190" s="47"/>
    </row>
    <row r="2191" spans="4:4" x14ac:dyDescent="0.45">
      <c r="D2191" s="47"/>
    </row>
    <row r="2192" spans="4:4" x14ac:dyDescent="0.45">
      <c r="D2192" s="47"/>
    </row>
    <row r="2193" spans="4:4" x14ac:dyDescent="0.45">
      <c r="D2193" s="47"/>
    </row>
    <row r="2194" spans="4:4" x14ac:dyDescent="0.45">
      <c r="D2194" s="47"/>
    </row>
    <row r="2195" spans="4:4" x14ac:dyDescent="0.45">
      <c r="D2195" s="47"/>
    </row>
    <row r="2196" spans="4:4" x14ac:dyDescent="0.45">
      <c r="D2196" s="47"/>
    </row>
    <row r="2197" spans="4:4" x14ac:dyDescent="0.45">
      <c r="D2197" s="47"/>
    </row>
    <row r="2198" spans="4:4" x14ac:dyDescent="0.45">
      <c r="D2198" s="47"/>
    </row>
    <row r="2199" spans="4:4" x14ac:dyDescent="0.45">
      <c r="D2199" s="47"/>
    </row>
    <row r="2200" spans="4:4" x14ac:dyDescent="0.45">
      <c r="D2200" s="47"/>
    </row>
    <row r="2201" spans="4:4" x14ac:dyDescent="0.45">
      <c r="D2201" s="47"/>
    </row>
    <row r="2202" spans="4:4" x14ac:dyDescent="0.45">
      <c r="D2202" s="47"/>
    </row>
    <row r="2203" spans="4:4" x14ac:dyDescent="0.45">
      <c r="D2203" s="47"/>
    </row>
    <row r="2204" spans="4:4" x14ac:dyDescent="0.45">
      <c r="D2204" s="47"/>
    </row>
    <row r="2205" spans="4:4" x14ac:dyDescent="0.45">
      <c r="D2205" s="47"/>
    </row>
    <row r="2206" spans="4:4" x14ac:dyDescent="0.45">
      <c r="D2206" s="47"/>
    </row>
    <row r="2207" spans="4:4" x14ac:dyDescent="0.45">
      <c r="D2207" s="47"/>
    </row>
    <row r="2208" spans="4:4" x14ac:dyDescent="0.45">
      <c r="D2208" s="47"/>
    </row>
    <row r="2209" spans="4:4" x14ac:dyDescent="0.45">
      <c r="D2209" s="47"/>
    </row>
    <row r="2210" spans="4:4" x14ac:dyDescent="0.45">
      <c r="D2210" s="47"/>
    </row>
    <row r="2211" spans="4:4" x14ac:dyDescent="0.45">
      <c r="D2211" s="47"/>
    </row>
    <row r="2212" spans="4:4" x14ac:dyDescent="0.45">
      <c r="D2212" s="47"/>
    </row>
    <row r="2213" spans="4:4" x14ac:dyDescent="0.45">
      <c r="D2213" s="47"/>
    </row>
    <row r="2214" spans="4:4" x14ac:dyDescent="0.45">
      <c r="D2214" s="47"/>
    </row>
    <row r="2215" spans="4:4" x14ac:dyDescent="0.45">
      <c r="D2215" s="47"/>
    </row>
    <row r="2216" spans="4:4" x14ac:dyDescent="0.45">
      <c r="D2216" s="47"/>
    </row>
    <row r="2217" spans="4:4" x14ac:dyDescent="0.45">
      <c r="D2217" s="47"/>
    </row>
    <row r="2218" spans="4:4" x14ac:dyDescent="0.45">
      <c r="D2218" s="47"/>
    </row>
    <row r="2219" spans="4:4" x14ac:dyDescent="0.45">
      <c r="D2219" s="47"/>
    </row>
    <row r="2220" spans="4:4" x14ac:dyDescent="0.45">
      <c r="D2220" s="47"/>
    </row>
    <row r="2221" spans="4:4" x14ac:dyDescent="0.45">
      <c r="D2221" s="47"/>
    </row>
    <row r="2222" spans="4:4" x14ac:dyDescent="0.45">
      <c r="D2222" s="47"/>
    </row>
    <row r="2223" spans="4:4" x14ac:dyDescent="0.45">
      <c r="D2223" s="47"/>
    </row>
    <row r="2224" spans="4:4" x14ac:dyDescent="0.45">
      <c r="D2224" s="47"/>
    </row>
    <row r="2225" spans="4:4" x14ac:dyDescent="0.45">
      <c r="D2225" s="47"/>
    </row>
    <row r="2226" spans="4:4" x14ac:dyDescent="0.45">
      <c r="D2226" s="47"/>
    </row>
    <row r="2227" spans="4:4" x14ac:dyDescent="0.45">
      <c r="D2227" s="47"/>
    </row>
    <row r="2228" spans="4:4" x14ac:dyDescent="0.45">
      <c r="D2228" s="47"/>
    </row>
    <row r="2229" spans="4:4" x14ac:dyDescent="0.45">
      <c r="D2229" s="47"/>
    </row>
    <row r="2230" spans="4:4" x14ac:dyDescent="0.45">
      <c r="D2230" s="47"/>
    </row>
    <row r="2231" spans="4:4" x14ac:dyDescent="0.45">
      <c r="D2231" s="47"/>
    </row>
    <row r="2232" spans="4:4" x14ac:dyDescent="0.45">
      <c r="D2232" s="47"/>
    </row>
    <row r="2233" spans="4:4" x14ac:dyDescent="0.45">
      <c r="D2233" s="47"/>
    </row>
    <row r="2234" spans="4:4" x14ac:dyDescent="0.45">
      <c r="D2234" s="47"/>
    </row>
    <row r="2235" spans="4:4" x14ac:dyDescent="0.45">
      <c r="D2235" s="47"/>
    </row>
    <row r="2236" spans="4:4" x14ac:dyDescent="0.45">
      <c r="D2236" s="47"/>
    </row>
    <row r="2237" spans="4:4" x14ac:dyDescent="0.45">
      <c r="D2237" s="47"/>
    </row>
    <row r="2238" spans="4:4" x14ac:dyDescent="0.45">
      <c r="D2238" s="47"/>
    </row>
    <row r="2239" spans="4:4" x14ac:dyDescent="0.45">
      <c r="D2239" s="47"/>
    </row>
    <row r="2240" spans="4:4" x14ac:dyDescent="0.45">
      <c r="D2240" s="47"/>
    </row>
    <row r="2241" spans="4:4" x14ac:dyDescent="0.45">
      <c r="D2241" s="47"/>
    </row>
    <row r="2242" spans="4:4" x14ac:dyDescent="0.45">
      <c r="D2242" s="47"/>
    </row>
    <row r="2243" spans="4:4" x14ac:dyDescent="0.45">
      <c r="D2243" s="47"/>
    </row>
    <row r="2244" spans="4:4" x14ac:dyDescent="0.45">
      <c r="D2244" s="47"/>
    </row>
    <row r="2245" spans="4:4" x14ac:dyDescent="0.45">
      <c r="D2245" s="47"/>
    </row>
    <row r="2246" spans="4:4" x14ac:dyDescent="0.45">
      <c r="D2246" s="47"/>
    </row>
    <row r="2247" spans="4:4" x14ac:dyDescent="0.45">
      <c r="D2247" s="47"/>
    </row>
    <row r="2248" spans="4:4" x14ac:dyDescent="0.45">
      <c r="D2248" s="47"/>
    </row>
    <row r="2249" spans="4:4" x14ac:dyDescent="0.45">
      <c r="D2249" s="47"/>
    </row>
    <row r="2250" spans="4:4" x14ac:dyDescent="0.45">
      <c r="D2250" s="47"/>
    </row>
    <row r="2251" spans="4:4" x14ac:dyDescent="0.45">
      <c r="D2251" s="47"/>
    </row>
    <row r="2252" spans="4:4" x14ac:dyDescent="0.45">
      <c r="D2252" s="47"/>
    </row>
    <row r="2253" spans="4:4" x14ac:dyDescent="0.45">
      <c r="D2253" s="47"/>
    </row>
    <row r="2254" spans="4:4" x14ac:dyDescent="0.45">
      <c r="D2254" s="47"/>
    </row>
    <row r="2255" spans="4:4" x14ac:dyDescent="0.45">
      <c r="D2255" s="47"/>
    </row>
    <row r="2256" spans="4:4" x14ac:dyDescent="0.45">
      <c r="D2256" s="47"/>
    </row>
    <row r="2257" spans="4:4" x14ac:dyDescent="0.45">
      <c r="D2257" s="47"/>
    </row>
    <row r="2258" spans="4:4" x14ac:dyDescent="0.45">
      <c r="D2258" s="47"/>
    </row>
    <row r="2259" spans="4:4" x14ac:dyDescent="0.45">
      <c r="D2259" s="47"/>
    </row>
    <row r="2260" spans="4:4" x14ac:dyDescent="0.45">
      <c r="D2260" s="47"/>
    </row>
    <row r="2261" spans="4:4" x14ac:dyDescent="0.45">
      <c r="D2261" s="47"/>
    </row>
    <row r="2262" spans="4:4" x14ac:dyDescent="0.45">
      <c r="D2262" s="47"/>
    </row>
    <row r="2263" spans="4:4" x14ac:dyDescent="0.45">
      <c r="D2263" s="47"/>
    </row>
    <row r="2264" spans="4:4" x14ac:dyDescent="0.45">
      <c r="D2264" s="47"/>
    </row>
    <row r="2265" spans="4:4" x14ac:dyDescent="0.45">
      <c r="D2265" s="47"/>
    </row>
    <row r="2266" spans="4:4" x14ac:dyDescent="0.45">
      <c r="D2266" s="47"/>
    </row>
    <row r="2267" spans="4:4" x14ac:dyDescent="0.45">
      <c r="D2267" s="47"/>
    </row>
    <row r="2268" spans="4:4" x14ac:dyDescent="0.45">
      <c r="D2268" s="47"/>
    </row>
    <row r="2269" spans="4:4" x14ac:dyDescent="0.45">
      <c r="D2269" s="47"/>
    </row>
    <row r="2270" spans="4:4" x14ac:dyDescent="0.45">
      <c r="D2270" s="47"/>
    </row>
    <row r="2271" spans="4:4" x14ac:dyDescent="0.45">
      <c r="D2271" s="47"/>
    </row>
    <row r="2272" spans="4:4" x14ac:dyDescent="0.45">
      <c r="D2272" s="47"/>
    </row>
    <row r="2273" spans="4:4" x14ac:dyDescent="0.45">
      <c r="D2273" s="47"/>
    </row>
    <row r="2274" spans="4:4" x14ac:dyDescent="0.45">
      <c r="D2274" s="47"/>
    </row>
    <row r="2275" spans="4:4" x14ac:dyDescent="0.45">
      <c r="D2275" s="47"/>
    </row>
    <row r="2276" spans="4:4" x14ac:dyDescent="0.45">
      <c r="D2276" s="47"/>
    </row>
    <row r="2277" spans="4:4" x14ac:dyDescent="0.45">
      <c r="D2277" s="47"/>
    </row>
    <row r="2278" spans="4:4" x14ac:dyDescent="0.45">
      <c r="D2278" s="47"/>
    </row>
    <row r="2279" spans="4:4" x14ac:dyDescent="0.45">
      <c r="D2279" s="47"/>
    </row>
    <row r="2280" spans="4:4" x14ac:dyDescent="0.45">
      <c r="D2280" s="47"/>
    </row>
    <row r="2281" spans="4:4" x14ac:dyDescent="0.45">
      <c r="D2281" s="47"/>
    </row>
    <row r="2282" spans="4:4" x14ac:dyDescent="0.45">
      <c r="D2282" s="47"/>
    </row>
    <row r="2283" spans="4:4" x14ac:dyDescent="0.45">
      <c r="D2283" s="47"/>
    </row>
    <row r="2284" spans="4:4" x14ac:dyDescent="0.45">
      <c r="D2284" s="47"/>
    </row>
    <row r="2285" spans="4:4" x14ac:dyDescent="0.45">
      <c r="D2285" s="47"/>
    </row>
    <row r="2286" spans="4:4" x14ac:dyDescent="0.45">
      <c r="D2286" s="47"/>
    </row>
    <row r="2287" spans="4:4" x14ac:dyDescent="0.45">
      <c r="D2287" s="47"/>
    </row>
    <row r="2288" spans="4:4" x14ac:dyDescent="0.45">
      <c r="D2288" s="47"/>
    </row>
    <row r="2289" spans="4:4" x14ac:dyDescent="0.45">
      <c r="D2289" s="47"/>
    </row>
    <row r="2290" spans="4:4" x14ac:dyDescent="0.45">
      <c r="D2290" s="47"/>
    </row>
    <row r="2291" spans="4:4" x14ac:dyDescent="0.45">
      <c r="D2291" s="47"/>
    </row>
    <row r="2292" spans="4:4" x14ac:dyDescent="0.45">
      <c r="D2292" s="47"/>
    </row>
    <row r="2293" spans="4:4" x14ac:dyDescent="0.45">
      <c r="D2293" s="47"/>
    </row>
    <row r="2294" spans="4:4" x14ac:dyDescent="0.45">
      <c r="D2294" s="47"/>
    </row>
    <row r="2295" spans="4:4" x14ac:dyDescent="0.45">
      <c r="D2295" s="47"/>
    </row>
    <row r="2296" spans="4:4" x14ac:dyDescent="0.45">
      <c r="D2296" s="47"/>
    </row>
    <row r="2297" spans="4:4" x14ac:dyDescent="0.45">
      <c r="D2297" s="47"/>
    </row>
    <row r="2298" spans="4:4" x14ac:dyDescent="0.45">
      <c r="D2298" s="47"/>
    </row>
    <row r="2299" spans="4:4" x14ac:dyDescent="0.45">
      <c r="D2299" s="47"/>
    </row>
    <row r="2300" spans="4:4" x14ac:dyDescent="0.45">
      <c r="D2300" s="47"/>
    </row>
    <row r="2301" spans="4:4" x14ac:dyDescent="0.45">
      <c r="D2301" s="47"/>
    </row>
    <row r="2302" spans="4:4" x14ac:dyDescent="0.45">
      <c r="D2302" s="47"/>
    </row>
    <row r="2303" spans="4:4" x14ac:dyDescent="0.45">
      <c r="D2303" s="47"/>
    </row>
    <row r="2304" spans="4:4" x14ac:dyDescent="0.45">
      <c r="D2304" s="47"/>
    </row>
    <row r="2305" spans="4:4" x14ac:dyDescent="0.45">
      <c r="D2305" s="47"/>
    </row>
    <row r="2306" spans="4:4" x14ac:dyDescent="0.45">
      <c r="D2306" s="47"/>
    </row>
    <row r="2307" spans="4:4" x14ac:dyDescent="0.45">
      <c r="D2307" s="47"/>
    </row>
    <row r="2308" spans="4:4" x14ac:dyDescent="0.45">
      <c r="D2308" s="47"/>
    </row>
    <row r="2309" spans="4:4" x14ac:dyDescent="0.45">
      <c r="D2309" s="47"/>
    </row>
    <row r="2310" spans="4:4" x14ac:dyDescent="0.45">
      <c r="D2310" s="47"/>
    </row>
    <row r="2311" spans="4:4" x14ac:dyDescent="0.45">
      <c r="D2311" s="47"/>
    </row>
    <row r="2312" spans="4:4" x14ac:dyDescent="0.45">
      <c r="D2312" s="47"/>
    </row>
    <row r="2313" spans="4:4" x14ac:dyDescent="0.45">
      <c r="D2313" s="47"/>
    </row>
    <row r="2314" spans="4:4" x14ac:dyDescent="0.45">
      <c r="D2314" s="47"/>
    </row>
    <row r="2315" spans="4:4" x14ac:dyDescent="0.45">
      <c r="D2315" s="47"/>
    </row>
    <row r="2316" spans="4:4" x14ac:dyDescent="0.45">
      <c r="D2316" s="47"/>
    </row>
    <row r="2317" spans="4:4" x14ac:dyDescent="0.45">
      <c r="D2317" s="47"/>
    </row>
    <row r="2318" spans="4:4" x14ac:dyDescent="0.45">
      <c r="D2318" s="47"/>
    </row>
    <row r="2319" spans="4:4" x14ac:dyDescent="0.45">
      <c r="D2319" s="47"/>
    </row>
    <row r="2320" spans="4:4" x14ac:dyDescent="0.45">
      <c r="D2320" s="47"/>
    </row>
    <row r="2321" spans="4:4" x14ac:dyDescent="0.45">
      <c r="D2321" s="47"/>
    </row>
    <row r="2322" spans="4:4" x14ac:dyDescent="0.45">
      <c r="D2322" s="47"/>
    </row>
    <row r="2323" spans="4:4" x14ac:dyDescent="0.45">
      <c r="D2323" s="47"/>
    </row>
    <row r="2324" spans="4:4" x14ac:dyDescent="0.45">
      <c r="D2324" s="47"/>
    </row>
    <row r="2325" spans="4:4" x14ac:dyDescent="0.45">
      <c r="D2325" s="47"/>
    </row>
    <row r="2326" spans="4:4" x14ac:dyDescent="0.45">
      <c r="D2326" s="47"/>
    </row>
    <row r="2327" spans="4:4" x14ac:dyDescent="0.45">
      <c r="D2327" s="47"/>
    </row>
    <row r="2328" spans="4:4" x14ac:dyDescent="0.45">
      <c r="D2328" s="47"/>
    </row>
    <row r="2329" spans="4:4" x14ac:dyDescent="0.45">
      <c r="D2329" s="47"/>
    </row>
    <row r="2330" spans="4:4" x14ac:dyDescent="0.45">
      <c r="D2330" s="47"/>
    </row>
    <row r="2331" spans="4:4" x14ac:dyDescent="0.45">
      <c r="D2331" s="47"/>
    </row>
    <row r="2332" spans="4:4" x14ac:dyDescent="0.45">
      <c r="D2332" s="47"/>
    </row>
    <row r="2333" spans="4:4" x14ac:dyDescent="0.45">
      <c r="D2333" s="47"/>
    </row>
    <row r="2334" spans="4:4" x14ac:dyDescent="0.45">
      <c r="D2334" s="47"/>
    </row>
    <row r="2335" spans="4:4" x14ac:dyDescent="0.45">
      <c r="D2335" s="47"/>
    </row>
    <row r="2336" spans="4:4" x14ac:dyDescent="0.45">
      <c r="D2336" s="47"/>
    </row>
    <row r="2337" spans="4:4" x14ac:dyDescent="0.45">
      <c r="D2337" s="47"/>
    </row>
    <row r="2338" spans="4:4" x14ac:dyDescent="0.45">
      <c r="D2338" s="47"/>
    </row>
    <row r="2339" spans="4:4" x14ac:dyDescent="0.45">
      <c r="D2339" s="47"/>
    </row>
    <row r="2340" spans="4:4" x14ac:dyDescent="0.45">
      <c r="D2340" s="47"/>
    </row>
    <row r="2341" spans="4:4" x14ac:dyDescent="0.45">
      <c r="D2341" s="47"/>
    </row>
    <row r="2342" spans="4:4" x14ac:dyDescent="0.45">
      <c r="D2342" s="47"/>
    </row>
    <row r="2343" spans="4:4" x14ac:dyDescent="0.45">
      <c r="D2343" s="47"/>
    </row>
    <row r="2344" spans="4:4" x14ac:dyDescent="0.45">
      <c r="D2344" s="47"/>
    </row>
    <row r="2345" spans="4:4" x14ac:dyDescent="0.45">
      <c r="D2345" s="47"/>
    </row>
    <row r="2346" spans="4:4" x14ac:dyDescent="0.45">
      <c r="D2346" s="47"/>
    </row>
    <row r="2347" spans="4:4" x14ac:dyDescent="0.45">
      <c r="D2347" s="47"/>
    </row>
    <row r="2348" spans="4:4" x14ac:dyDescent="0.45">
      <c r="D2348" s="47"/>
    </row>
    <row r="2349" spans="4:4" x14ac:dyDescent="0.45">
      <c r="D2349" s="47"/>
    </row>
    <row r="2350" spans="4:4" x14ac:dyDescent="0.45">
      <c r="D2350" s="47"/>
    </row>
    <row r="2351" spans="4:4" x14ac:dyDescent="0.45">
      <c r="D2351" s="47"/>
    </row>
    <row r="2352" spans="4:4" x14ac:dyDescent="0.45">
      <c r="D2352" s="47"/>
    </row>
    <row r="2353" spans="4:4" x14ac:dyDescent="0.45">
      <c r="D2353" s="47"/>
    </row>
    <row r="2354" spans="4:4" x14ac:dyDescent="0.45">
      <c r="D2354" s="47"/>
    </row>
    <row r="2355" spans="4:4" x14ac:dyDescent="0.45">
      <c r="D2355" s="47"/>
    </row>
    <row r="2356" spans="4:4" x14ac:dyDescent="0.45">
      <c r="D2356" s="47"/>
    </row>
    <row r="2357" spans="4:4" x14ac:dyDescent="0.45">
      <c r="D2357" s="47"/>
    </row>
    <row r="2358" spans="4:4" x14ac:dyDescent="0.45">
      <c r="D2358" s="47"/>
    </row>
    <row r="2359" spans="4:4" x14ac:dyDescent="0.45">
      <c r="D2359" s="47"/>
    </row>
    <row r="2360" spans="4:4" x14ac:dyDescent="0.45">
      <c r="D2360" s="47"/>
    </row>
    <row r="2361" spans="4:4" x14ac:dyDescent="0.45">
      <c r="D2361" s="47"/>
    </row>
    <row r="2362" spans="4:4" x14ac:dyDescent="0.45">
      <c r="D2362" s="47"/>
    </row>
    <row r="2363" spans="4:4" x14ac:dyDescent="0.45">
      <c r="D2363" s="47"/>
    </row>
    <row r="2364" spans="4:4" x14ac:dyDescent="0.45">
      <c r="D2364" s="47"/>
    </row>
    <row r="2365" spans="4:4" x14ac:dyDescent="0.45">
      <c r="D2365" s="47"/>
    </row>
    <row r="2366" spans="4:4" x14ac:dyDescent="0.45">
      <c r="D2366" s="47"/>
    </row>
    <row r="2367" spans="4:4" x14ac:dyDescent="0.45">
      <c r="D2367" s="47"/>
    </row>
    <row r="2368" spans="4:4" x14ac:dyDescent="0.45">
      <c r="D2368" s="47"/>
    </row>
    <row r="2369" spans="4:4" x14ac:dyDescent="0.45">
      <c r="D2369" s="47"/>
    </row>
    <row r="2370" spans="4:4" x14ac:dyDescent="0.45">
      <c r="D2370" s="47"/>
    </row>
    <row r="2371" spans="4:4" x14ac:dyDescent="0.45">
      <c r="D2371" s="47"/>
    </row>
    <row r="2372" spans="4:4" x14ac:dyDescent="0.45">
      <c r="D2372" s="47"/>
    </row>
    <row r="2373" spans="4:4" x14ac:dyDescent="0.45">
      <c r="D2373" s="47"/>
    </row>
    <row r="2374" spans="4:4" x14ac:dyDescent="0.45">
      <c r="D2374" s="47"/>
    </row>
    <row r="2375" spans="4:4" x14ac:dyDescent="0.45">
      <c r="D2375" s="47"/>
    </row>
    <row r="2376" spans="4:4" x14ac:dyDescent="0.45">
      <c r="D2376" s="47"/>
    </row>
    <row r="2377" spans="4:4" x14ac:dyDescent="0.45">
      <c r="D2377" s="47"/>
    </row>
    <row r="2378" spans="4:4" x14ac:dyDescent="0.45">
      <c r="D2378" s="47"/>
    </row>
    <row r="2379" spans="4:4" x14ac:dyDescent="0.45">
      <c r="D2379" s="47"/>
    </row>
    <row r="2380" spans="4:4" x14ac:dyDescent="0.45">
      <c r="D2380" s="47"/>
    </row>
    <row r="2381" spans="4:4" x14ac:dyDescent="0.45">
      <c r="D2381" s="47"/>
    </row>
    <row r="2382" spans="4:4" x14ac:dyDescent="0.45">
      <c r="D2382" s="47"/>
    </row>
    <row r="2383" spans="4:4" x14ac:dyDescent="0.45">
      <c r="D2383" s="47"/>
    </row>
    <row r="2384" spans="4:4" x14ac:dyDescent="0.45">
      <c r="D2384" s="47"/>
    </row>
    <row r="2385" spans="4:4" x14ac:dyDescent="0.45">
      <c r="D2385" s="47"/>
    </row>
    <row r="2386" spans="4:4" x14ac:dyDescent="0.45">
      <c r="D2386" s="47"/>
    </row>
    <row r="2387" spans="4:4" x14ac:dyDescent="0.45">
      <c r="D2387" s="47"/>
    </row>
    <row r="2388" spans="4:4" x14ac:dyDescent="0.45">
      <c r="D2388" s="47"/>
    </row>
    <row r="2389" spans="4:4" x14ac:dyDescent="0.45">
      <c r="D2389" s="47"/>
    </row>
    <row r="2390" spans="4:4" x14ac:dyDescent="0.45">
      <c r="D2390" s="47"/>
    </row>
    <row r="2391" spans="4:4" x14ac:dyDescent="0.45">
      <c r="D2391" s="47"/>
    </row>
    <row r="2392" spans="4:4" x14ac:dyDescent="0.45">
      <c r="D2392" s="47"/>
    </row>
    <row r="2393" spans="4:4" x14ac:dyDescent="0.45">
      <c r="D2393" s="47"/>
    </row>
    <row r="2394" spans="4:4" x14ac:dyDescent="0.45">
      <c r="D2394" s="47"/>
    </row>
    <row r="2395" spans="4:4" x14ac:dyDescent="0.45">
      <c r="D2395" s="47"/>
    </row>
    <row r="2396" spans="4:4" x14ac:dyDescent="0.45">
      <c r="D2396" s="47"/>
    </row>
    <row r="2397" spans="4:4" x14ac:dyDescent="0.45">
      <c r="D2397" s="47"/>
    </row>
    <row r="2398" spans="4:4" x14ac:dyDescent="0.45">
      <c r="D2398" s="47"/>
    </row>
    <row r="2399" spans="4:4" x14ac:dyDescent="0.45">
      <c r="D2399" s="47"/>
    </row>
    <row r="2400" spans="4:4" x14ac:dyDescent="0.45">
      <c r="D2400" s="47"/>
    </row>
    <row r="2401" spans="4:4" x14ac:dyDescent="0.45">
      <c r="D2401" s="47"/>
    </row>
    <row r="2402" spans="4:4" x14ac:dyDescent="0.45">
      <c r="D2402" s="47"/>
    </row>
    <row r="2403" spans="4:4" x14ac:dyDescent="0.45">
      <c r="D2403" s="47"/>
    </row>
    <row r="2404" spans="4:4" x14ac:dyDescent="0.45">
      <c r="D2404" s="47"/>
    </row>
    <row r="2405" spans="4:4" x14ac:dyDescent="0.45">
      <c r="D2405" s="47"/>
    </row>
    <row r="2406" spans="4:4" x14ac:dyDescent="0.45">
      <c r="D2406" s="47"/>
    </row>
    <row r="2407" spans="4:4" x14ac:dyDescent="0.45">
      <c r="D2407" s="47"/>
    </row>
    <row r="2408" spans="4:4" x14ac:dyDescent="0.45">
      <c r="D2408" s="47"/>
    </row>
    <row r="2409" spans="4:4" x14ac:dyDescent="0.45">
      <c r="D2409" s="47"/>
    </row>
    <row r="2410" spans="4:4" x14ac:dyDescent="0.45">
      <c r="D2410" s="47"/>
    </row>
    <row r="2411" spans="4:4" x14ac:dyDescent="0.45">
      <c r="D2411" s="47"/>
    </row>
    <row r="2412" spans="4:4" x14ac:dyDescent="0.45">
      <c r="D2412" s="47"/>
    </row>
    <row r="2413" spans="4:4" x14ac:dyDescent="0.45">
      <c r="D2413" s="47"/>
    </row>
    <row r="2414" spans="4:4" x14ac:dyDescent="0.45">
      <c r="D2414" s="47"/>
    </row>
    <row r="2415" spans="4:4" x14ac:dyDescent="0.45">
      <c r="D2415" s="47"/>
    </row>
    <row r="2416" spans="4:4" x14ac:dyDescent="0.45">
      <c r="D2416" s="47"/>
    </row>
    <row r="2417" spans="4:4" x14ac:dyDescent="0.45">
      <c r="D2417" s="47"/>
    </row>
    <row r="2418" spans="4:4" x14ac:dyDescent="0.45">
      <c r="D2418" s="47"/>
    </row>
    <row r="2419" spans="4:4" x14ac:dyDescent="0.45">
      <c r="D2419" s="47"/>
    </row>
    <row r="2420" spans="4:4" x14ac:dyDescent="0.45">
      <c r="D2420" s="47"/>
    </row>
    <row r="2421" spans="4:4" x14ac:dyDescent="0.45">
      <c r="D2421" s="47"/>
    </row>
    <row r="2422" spans="4:4" x14ac:dyDescent="0.45">
      <c r="D2422" s="47"/>
    </row>
    <row r="2423" spans="4:4" x14ac:dyDescent="0.45">
      <c r="D2423" s="47"/>
    </row>
    <row r="2424" spans="4:4" x14ac:dyDescent="0.45">
      <c r="D2424" s="47"/>
    </row>
    <row r="2425" spans="4:4" x14ac:dyDescent="0.45">
      <c r="D2425" s="47"/>
    </row>
    <row r="2426" spans="4:4" x14ac:dyDescent="0.45">
      <c r="D2426" s="47"/>
    </row>
    <row r="2427" spans="4:4" x14ac:dyDescent="0.45">
      <c r="D2427" s="47"/>
    </row>
    <row r="2428" spans="4:4" x14ac:dyDescent="0.45">
      <c r="D2428" s="47"/>
    </row>
    <row r="2429" spans="4:4" x14ac:dyDescent="0.45">
      <c r="D2429" s="47"/>
    </row>
    <row r="2430" spans="4:4" x14ac:dyDescent="0.45">
      <c r="D2430" s="47"/>
    </row>
    <row r="2431" spans="4:4" x14ac:dyDescent="0.45">
      <c r="D2431" s="47"/>
    </row>
    <row r="2432" spans="4:4" x14ac:dyDescent="0.45">
      <c r="D2432" s="47"/>
    </row>
    <row r="2433" spans="4:4" x14ac:dyDescent="0.45">
      <c r="D2433" s="47"/>
    </row>
    <row r="2434" spans="4:4" x14ac:dyDescent="0.45">
      <c r="D2434" s="47"/>
    </row>
    <row r="2435" spans="4:4" x14ac:dyDescent="0.45">
      <c r="D2435" s="47"/>
    </row>
    <row r="2436" spans="4:4" x14ac:dyDescent="0.45">
      <c r="D2436" s="47"/>
    </row>
    <row r="2437" spans="4:4" x14ac:dyDescent="0.45">
      <c r="D2437" s="47"/>
    </row>
    <row r="2438" spans="4:4" x14ac:dyDescent="0.45">
      <c r="D2438" s="47"/>
    </row>
    <row r="2439" spans="4:4" x14ac:dyDescent="0.45">
      <c r="D2439" s="47"/>
    </row>
    <row r="2440" spans="4:4" x14ac:dyDescent="0.45">
      <c r="D2440" s="47"/>
    </row>
    <row r="2441" spans="4:4" x14ac:dyDescent="0.45">
      <c r="D2441" s="47"/>
    </row>
    <row r="2442" spans="4:4" x14ac:dyDescent="0.45">
      <c r="D2442" s="47"/>
    </row>
    <row r="2443" spans="4:4" x14ac:dyDescent="0.45">
      <c r="D2443" s="47"/>
    </row>
    <row r="2444" spans="4:4" x14ac:dyDescent="0.45">
      <c r="D2444" s="47"/>
    </row>
    <row r="2445" spans="4:4" x14ac:dyDescent="0.45">
      <c r="D2445" s="47"/>
    </row>
    <row r="2446" spans="4:4" x14ac:dyDescent="0.45">
      <c r="D2446" s="47"/>
    </row>
    <row r="2447" spans="4:4" x14ac:dyDescent="0.45">
      <c r="D2447" s="47"/>
    </row>
    <row r="2448" spans="4:4" x14ac:dyDescent="0.45">
      <c r="D2448" s="47"/>
    </row>
    <row r="2449" spans="4:4" x14ac:dyDescent="0.45">
      <c r="D2449" s="47"/>
    </row>
    <row r="2450" spans="4:4" x14ac:dyDescent="0.45">
      <c r="D2450" s="47"/>
    </row>
    <row r="2451" spans="4:4" x14ac:dyDescent="0.45">
      <c r="D2451" s="47"/>
    </row>
    <row r="2452" spans="4:4" x14ac:dyDescent="0.45">
      <c r="D2452" s="47"/>
    </row>
    <row r="2453" spans="4:4" x14ac:dyDescent="0.45">
      <c r="D2453" s="47"/>
    </row>
    <row r="2454" spans="4:4" x14ac:dyDescent="0.45">
      <c r="D2454" s="47"/>
    </row>
    <row r="2455" spans="4:4" x14ac:dyDescent="0.45">
      <c r="D2455" s="47"/>
    </row>
    <row r="2456" spans="4:4" x14ac:dyDescent="0.45">
      <c r="D2456" s="47"/>
    </row>
    <row r="2457" spans="4:4" x14ac:dyDescent="0.45">
      <c r="D2457" s="47"/>
    </row>
    <row r="2458" spans="4:4" x14ac:dyDescent="0.45">
      <c r="D2458" s="47"/>
    </row>
    <row r="2459" spans="4:4" x14ac:dyDescent="0.45">
      <c r="D2459" s="47"/>
    </row>
    <row r="2460" spans="4:4" x14ac:dyDescent="0.45">
      <c r="D2460" s="47"/>
    </row>
    <row r="2461" spans="4:4" x14ac:dyDescent="0.45">
      <c r="D2461" s="47"/>
    </row>
    <row r="2462" spans="4:4" x14ac:dyDescent="0.45">
      <c r="D2462" s="47"/>
    </row>
    <row r="2463" spans="4:4" x14ac:dyDescent="0.45">
      <c r="D2463" s="47"/>
    </row>
    <row r="2464" spans="4:4" x14ac:dyDescent="0.45">
      <c r="D2464" s="47"/>
    </row>
    <row r="2465" spans="4:4" x14ac:dyDescent="0.45">
      <c r="D2465" s="47"/>
    </row>
    <row r="2466" spans="4:4" x14ac:dyDescent="0.45">
      <c r="D2466" s="47"/>
    </row>
    <row r="2467" spans="4:4" x14ac:dyDescent="0.45">
      <c r="D2467" s="47"/>
    </row>
    <row r="2468" spans="4:4" x14ac:dyDescent="0.45">
      <c r="D2468" s="47"/>
    </row>
    <row r="2469" spans="4:4" x14ac:dyDescent="0.45">
      <c r="D2469" s="47"/>
    </row>
    <row r="2470" spans="4:4" x14ac:dyDescent="0.45">
      <c r="D2470" s="47"/>
    </row>
    <row r="2471" spans="4:4" x14ac:dyDescent="0.45">
      <c r="D2471" s="47"/>
    </row>
    <row r="2472" spans="4:4" x14ac:dyDescent="0.45">
      <c r="D2472" s="47"/>
    </row>
    <row r="2473" spans="4:4" x14ac:dyDescent="0.45">
      <c r="D2473" s="47"/>
    </row>
    <row r="2474" spans="4:4" x14ac:dyDescent="0.45">
      <c r="D2474" s="47"/>
    </row>
    <row r="2475" spans="4:4" x14ac:dyDescent="0.45">
      <c r="D2475" s="47"/>
    </row>
    <row r="2476" spans="4:4" x14ac:dyDescent="0.45">
      <c r="D2476" s="47"/>
    </row>
    <row r="2477" spans="4:4" x14ac:dyDescent="0.45">
      <c r="D2477" s="47"/>
    </row>
    <row r="2478" spans="4:4" x14ac:dyDescent="0.45">
      <c r="D2478" s="47"/>
    </row>
    <row r="2479" spans="4:4" x14ac:dyDescent="0.45">
      <c r="D2479" s="47"/>
    </row>
    <row r="2480" spans="4:4" x14ac:dyDescent="0.45">
      <c r="D2480" s="47"/>
    </row>
    <row r="2481" spans="4:4" x14ac:dyDescent="0.45">
      <c r="D2481" s="47"/>
    </row>
    <row r="2482" spans="4:4" x14ac:dyDescent="0.45">
      <c r="D2482" s="47"/>
    </row>
    <row r="2483" spans="4:4" x14ac:dyDescent="0.45">
      <c r="D2483" s="47"/>
    </row>
    <row r="2484" spans="4:4" x14ac:dyDescent="0.45">
      <c r="D2484" s="47"/>
    </row>
    <row r="2485" spans="4:4" x14ac:dyDescent="0.45">
      <c r="D2485" s="47"/>
    </row>
    <row r="2486" spans="4:4" x14ac:dyDescent="0.45">
      <c r="D2486" s="47"/>
    </row>
    <row r="2487" spans="4:4" x14ac:dyDescent="0.45">
      <c r="D2487" s="47"/>
    </row>
    <row r="2488" spans="4:4" x14ac:dyDescent="0.45">
      <c r="D2488" s="47"/>
    </row>
    <row r="2489" spans="4:4" x14ac:dyDescent="0.45">
      <c r="D2489" s="47"/>
    </row>
    <row r="2490" spans="4:4" x14ac:dyDescent="0.45">
      <c r="D2490" s="47"/>
    </row>
    <row r="2491" spans="4:4" x14ac:dyDescent="0.45">
      <c r="D2491" s="47"/>
    </row>
    <row r="2492" spans="4:4" x14ac:dyDescent="0.45">
      <c r="D2492" s="47"/>
    </row>
    <row r="2493" spans="4:4" x14ac:dyDescent="0.45">
      <c r="D2493" s="47"/>
    </row>
    <row r="2494" spans="4:4" x14ac:dyDescent="0.45">
      <c r="D2494" s="47"/>
    </row>
    <row r="2495" spans="4:4" x14ac:dyDescent="0.45">
      <c r="D2495" s="47"/>
    </row>
    <row r="2496" spans="4:4" x14ac:dyDescent="0.45">
      <c r="D2496" s="47"/>
    </row>
    <row r="2497" spans="4:4" x14ac:dyDescent="0.45">
      <c r="D2497" s="47"/>
    </row>
    <row r="2498" spans="4:4" x14ac:dyDescent="0.45">
      <c r="D2498" s="47"/>
    </row>
    <row r="2499" spans="4:4" x14ac:dyDescent="0.45">
      <c r="D2499" s="47"/>
    </row>
    <row r="2500" spans="4:4" x14ac:dyDescent="0.45">
      <c r="D2500" s="47"/>
    </row>
    <row r="2501" spans="4:4" x14ac:dyDescent="0.45">
      <c r="D2501" s="47"/>
    </row>
    <row r="2502" spans="4:4" x14ac:dyDescent="0.45">
      <c r="D2502" s="47"/>
    </row>
    <row r="2503" spans="4:4" x14ac:dyDescent="0.45">
      <c r="D2503" s="47"/>
    </row>
    <row r="2504" spans="4:4" x14ac:dyDescent="0.45">
      <c r="D2504" s="47"/>
    </row>
    <row r="2505" spans="4:4" x14ac:dyDescent="0.45">
      <c r="D2505" s="47"/>
    </row>
    <row r="2506" spans="4:4" x14ac:dyDescent="0.45">
      <c r="D2506" s="47"/>
    </row>
    <row r="2507" spans="4:4" x14ac:dyDescent="0.45">
      <c r="D2507" s="47"/>
    </row>
    <row r="2508" spans="4:4" x14ac:dyDescent="0.45">
      <c r="D2508" s="47"/>
    </row>
    <row r="2509" spans="4:4" x14ac:dyDescent="0.45">
      <c r="D2509" s="47"/>
    </row>
    <row r="2510" spans="4:4" x14ac:dyDescent="0.45">
      <c r="D2510" s="47"/>
    </row>
    <row r="2511" spans="4:4" x14ac:dyDescent="0.45">
      <c r="D2511" s="47"/>
    </row>
    <row r="2512" spans="4:4" x14ac:dyDescent="0.45">
      <c r="D2512" s="47"/>
    </row>
    <row r="2513" spans="4:4" x14ac:dyDescent="0.45">
      <c r="D2513" s="47"/>
    </row>
    <row r="2514" spans="4:4" x14ac:dyDescent="0.45">
      <c r="D2514" s="47"/>
    </row>
    <row r="2515" spans="4:4" x14ac:dyDescent="0.45">
      <c r="D2515" s="47"/>
    </row>
    <row r="2516" spans="4:4" x14ac:dyDescent="0.45">
      <c r="D2516" s="47"/>
    </row>
    <row r="2517" spans="4:4" x14ac:dyDescent="0.45">
      <c r="D2517" s="47"/>
    </row>
    <row r="2518" spans="4:4" x14ac:dyDescent="0.45">
      <c r="D2518" s="47"/>
    </row>
    <row r="2519" spans="4:4" x14ac:dyDescent="0.45">
      <c r="D2519" s="47"/>
    </row>
    <row r="2520" spans="4:4" x14ac:dyDescent="0.45">
      <c r="D2520" s="47"/>
    </row>
    <row r="2521" spans="4:4" x14ac:dyDescent="0.45">
      <c r="D2521" s="47"/>
    </row>
    <row r="2522" spans="4:4" x14ac:dyDescent="0.45">
      <c r="D2522" s="47"/>
    </row>
    <row r="2523" spans="4:4" x14ac:dyDescent="0.45">
      <c r="D2523" s="47"/>
    </row>
    <row r="2524" spans="4:4" x14ac:dyDescent="0.45">
      <c r="D2524" s="47"/>
    </row>
    <row r="2525" spans="4:4" x14ac:dyDescent="0.45">
      <c r="D2525" s="47"/>
    </row>
    <row r="2526" spans="4:4" x14ac:dyDescent="0.45">
      <c r="D2526" s="47"/>
    </row>
    <row r="2527" spans="4:4" x14ac:dyDescent="0.45">
      <c r="D2527" s="47"/>
    </row>
    <row r="2528" spans="4:4" x14ac:dyDescent="0.45">
      <c r="D2528" s="47"/>
    </row>
    <row r="2529" spans="4:4" x14ac:dyDescent="0.45">
      <c r="D2529" s="47"/>
    </row>
    <row r="2530" spans="4:4" x14ac:dyDescent="0.45">
      <c r="D2530" s="47"/>
    </row>
    <row r="2531" spans="4:4" x14ac:dyDescent="0.45">
      <c r="D2531" s="47"/>
    </row>
    <row r="2532" spans="4:4" x14ac:dyDescent="0.45">
      <c r="D2532" s="47"/>
    </row>
    <row r="2533" spans="4:4" x14ac:dyDescent="0.45">
      <c r="D2533" s="47"/>
    </row>
    <row r="2534" spans="4:4" x14ac:dyDescent="0.45">
      <c r="D2534" s="47"/>
    </row>
    <row r="2535" spans="4:4" x14ac:dyDescent="0.45">
      <c r="D2535" s="47"/>
    </row>
    <row r="2536" spans="4:4" x14ac:dyDescent="0.45">
      <c r="D2536" s="47"/>
    </row>
    <row r="2537" spans="4:4" x14ac:dyDescent="0.45">
      <c r="D2537" s="47"/>
    </row>
    <row r="2538" spans="4:4" x14ac:dyDescent="0.45">
      <c r="D2538" s="47"/>
    </row>
    <row r="2539" spans="4:4" x14ac:dyDescent="0.45">
      <c r="D2539" s="47"/>
    </row>
    <row r="2540" spans="4:4" x14ac:dyDescent="0.45">
      <c r="D2540" s="47"/>
    </row>
    <row r="2541" spans="4:4" x14ac:dyDescent="0.45">
      <c r="D2541" s="47"/>
    </row>
    <row r="2542" spans="4:4" x14ac:dyDescent="0.45">
      <c r="D2542" s="47"/>
    </row>
    <row r="2543" spans="4:4" x14ac:dyDescent="0.45">
      <c r="D2543" s="47"/>
    </row>
    <row r="2544" spans="4:4" x14ac:dyDescent="0.45">
      <c r="D2544" s="47"/>
    </row>
    <row r="2545" spans="4:4" x14ac:dyDescent="0.45">
      <c r="D2545" s="47"/>
    </row>
    <row r="2546" spans="4:4" x14ac:dyDescent="0.45">
      <c r="D2546" s="47"/>
    </row>
    <row r="2547" spans="4:4" x14ac:dyDescent="0.45">
      <c r="D2547" s="47"/>
    </row>
    <row r="2548" spans="4:4" x14ac:dyDescent="0.45">
      <c r="D2548" s="47"/>
    </row>
    <row r="2549" spans="4:4" x14ac:dyDescent="0.45">
      <c r="D2549" s="47"/>
    </row>
    <row r="2550" spans="4:4" x14ac:dyDescent="0.45">
      <c r="D2550" s="47"/>
    </row>
    <row r="2551" spans="4:4" x14ac:dyDescent="0.45">
      <c r="D2551" s="47"/>
    </row>
    <row r="2552" spans="4:4" x14ac:dyDescent="0.45">
      <c r="D2552" s="47"/>
    </row>
    <row r="2553" spans="4:4" x14ac:dyDescent="0.45">
      <c r="D2553" s="47"/>
    </row>
    <row r="2554" spans="4:4" x14ac:dyDescent="0.45">
      <c r="D2554" s="47"/>
    </row>
    <row r="2555" spans="4:4" x14ac:dyDescent="0.45">
      <c r="D2555" s="47"/>
    </row>
    <row r="2556" spans="4:4" x14ac:dyDescent="0.45">
      <c r="D2556" s="47"/>
    </row>
    <row r="2557" spans="4:4" x14ac:dyDescent="0.45">
      <c r="D2557" s="47"/>
    </row>
    <row r="2558" spans="4:4" x14ac:dyDescent="0.45">
      <c r="D2558" s="47"/>
    </row>
    <row r="2559" spans="4:4" x14ac:dyDescent="0.45">
      <c r="D2559" s="47"/>
    </row>
    <row r="2560" spans="4:4" x14ac:dyDescent="0.45">
      <c r="D2560" s="47"/>
    </row>
    <row r="2561" spans="4:4" x14ac:dyDescent="0.45">
      <c r="D2561" s="47"/>
    </row>
    <row r="2562" spans="4:4" x14ac:dyDescent="0.45">
      <c r="D2562" s="47"/>
    </row>
    <row r="2563" spans="4:4" x14ac:dyDescent="0.45">
      <c r="D2563" s="47"/>
    </row>
    <row r="2564" spans="4:4" x14ac:dyDescent="0.45">
      <c r="D2564" s="47"/>
    </row>
    <row r="2565" spans="4:4" x14ac:dyDescent="0.45">
      <c r="D2565" s="47"/>
    </row>
    <row r="2566" spans="4:4" x14ac:dyDescent="0.45">
      <c r="D2566" s="47"/>
    </row>
    <row r="2567" spans="4:4" x14ac:dyDescent="0.45">
      <c r="D2567" s="47"/>
    </row>
    <row r="2568" spans="4:4" x14ac:dyDescent="0.45">
      <c r="D2568" s="47"/>
    </row>
    <row r="2569" spans="4:4" x14ac:dyDescent="0.45">
      <c r="D2569" s="47"/>
    </row>
    <row r="2570" spans="4:4" x14ac:dyDescent="0.45">
      <c r="D2570" s="47"/>
    </row>
    <row r="2571" spans="4:4" x14ac:dyDescent="0.45">
      <c r="D2571" s="47"/>
    </row>
    <row r="2572" spans="4:4" x14ac:dyDescent="0.45">
      <c r="D2572" s="47"/>
    </row>
    <row r="2573" spans="4:4" x14ac:dyDescent="0.45">
      <c r="D2573" s="47"/>
    </row>
    <row r="2574" spans="4:4" x14ac:dyDescent="0.45">
      <c r="D2574" s="47"/>
    </row>
    <row r="2575" spans="4:4" x14ac:dyDescent="0.45">
      <c r="D2575" s="47"/>
    </row>
    <row r="2576" spans="4:4" x14ac:dyDescent="0.45">
      <c r="D2576" s="47"/>
    </row>
    <row r="2577" spans="4:4" x14ac:dyDescent="0.45">
      <c r="D2577" s="47"/>
    </row>
    <row r="2578" spans="4:4" x14ac:dyDescent="0.45">
      <c r="D2578" s="47"/>
    </row>
    <row r="2579" spans="4:4" x14ac:dyDescent="0.45">
      <c r="D2579" s="47"/>
    </row>
    <row r="2580" spans="4:4" x14ac:dyDescent="0.45">
      <c r="D2580" s="47"/>
    </row>
    <row r="2581" spans="4:4" x14ac:dyDescent="0.45">
      <c r="D2581" s="47"/>
    </row>
    <row r="2582" spans="4:4" x14ac:dyDescent="0.45">
      <c r="D2582" s="47"/>
    </row>
    <row r="2583" spans="4:4" x14ac:dyDescent="0.45">
      <c r="D2583" s="47"/>
    </row>
    <row r="2584" spans="4:4" x14ac:dyDescent="0.45">
      <c r="D2584" s="47"/>
    </row>
    <row r="2585" spans="4:4" x14ac:dyDescent="0.45">
      <c r="D2585" s="47"/>
    </row>
    <row r="2586" spans="4:4" x14ac:dyDescent="0.45">
      <c r="D2586" s="47"/>
    </row>
    <row r="2587" spans="4:4" x14ac:dyDescent="0.45">
      <c r="D2587" s="47"/>
    </row>
    <row r="2588" spans="4:4" x14ac:dyDescent="0.45">
      <c r="D2588" s="47"/>
    </row>
    <row r="2589" spans="4:4" x14ac:dyDescent="0.45">
      <c r="D2589" s="47"/>
    </row>
    <row r="2590" spans="4:4" x14ac:dyDescent="0.45">
      <c r="D2590" s="47"/>
    </row>
    <row r="2591" spans="4:4" x14ac:dyDescent="0.45">
      <c r="D2591" s="47"/>
    </row>
    <row r="2592" spans="4:4" x14ac:dyDescent="0.45">
      <c r="D2592" s="47"/>
    </row>
    <row r="2593" spans="4:4" x14ac:dyDescent="0.45">
      <c r="D2593" s="47"/>
    </row>
    <row r="2594" spans="4:4" x14ac:dyDescent="0.45">
      <c r="D2594" s="47"/>
    </row>
    <row r="2595" spans="4:4" x14ac:dyDescent="0.45">
      <c r="D2595" s="47"/>
    </row>
    <row r="2596" spans="4:4" x14ac:dyDescent="0.45">
      <c r="D2596" s="47"/>
    </row>
    <row r="2597" spans="4:4" x14ac:dyDescent="0.45">
      <c r="D2597" s="47"/>
    </row>
    <row r="2598" spans="4:4" x14ac:dyDescent="0.45">
      <c r="D2598" s="47"/>
    </row>
    <row r="2599" spans="4:4" x14ac:dyDescent="0.45">
      <c r="D2599" s="47"/>
    </row>
    <row r="2600" spans="4:4" x14ac:dyDescent="0.45">
      <c r="D2600" s="47"/>
    </row>
    <row r="2601" spans="4:4" x14ac:dyDescent="0.45">
      <c r="D2601" s="47"/>
    </row>
    <row r="2602" spans="4:4" x14ac:dyDescent="0.45">
      <c r="D2602" s="47"/>
    </row>
    <row r="2603" spans="4:4" x14ac:dyDescent="0.45">
      <c r="D2603" s="47"/>
    </row>
    <row r="2604" spans="4:4" x14ac:dyDescent="0.45">
      <c r="D2604" s="47"/>
    </row>
    <row r="2605" spans="4:4" x14ac:dyDescent="0.45">
      <c r="D2605" s="47"/>
    </row>
    <row r="2606" spans="4:4" x14ac:dyDescent="0.45">
      <c r="D2606" s="47"/>
    </row>
    <row r="2607" spans="4:4" x14ac:dyDescent="0.45">
      <c r="D2607" s="47"/>
    </row>
    <row r="2608" spans="4:4" x14ac:dyDescent="0.45">
      <c r="D2608" s="47"/>
    </row>
    <row r="2609" spans="4:4" x14ac:dyDescent="0.45">
      <c r="D2609" s="47"/>
    </row>
    <row r="2610" spans="4:4" x14ac:dyDescent="0.45">
      <c r="D2610" s="47"/>
    </row>
    <row r="2611" spans="4:4" x14ac:dyDescent="0.45">
      <c r="D2611" s="47"/>
    </row>
    <row r="2612" spans="4:4" x14ac:dyDescent="0.45">
      <c r="D2612" s="47"/>
    </row>
    <row r="2613" spans="4:4" x14ac:dyDescent="0.45">
      <c r="D2613" s="47"/>
    </row>
    <row r="2614" spans="4:4" x14ac:dyDescent="0.45">
      <c r="D2614" s="47"/>
    </row>
    <row r="2615" spans="4:4" x14ac:dyDescent="0.45">
      <c r="D2615" s="47"/>
    </row>
    <row r="2616" spans="4:4" x14ac:dyDescent="0.45">
      <c r="D2616" s="47"/>
    </row>
    <row r="2617" spans="4:4" x14ac:dyDescent="0.45">
      <c r="D2617" s="47"/>
    </row>
    <row r="2618" spans="4:4" x14ac:dyDescent="0.45">
      <c r="D2618" s="47"/>
    </row>
    <row r="2619" spans="4:4" x14ac:dyDescent="0.45">
      <c r="D2619" s="47"/>
    </row>
    <row r="2620" spans="4:4" x14ac:dyDescent="0.45">
      <c r="D2620" s="47"/>
    </row>
    <row r="2621" spans="4:4" x14ac:dyDescent="0.45">
      <c r="D2621" s="47"/>
    </row>
    <row r="2622" spans="4:4" x14ac:dyDescent="0.45">
      <c r="D2622" s="47"/>
    </row>
    <row r="2623" spans="4:4" x14ac:dyDescent="0.45">
      <c r="D2623" s="47"/>
    </row>
    <row r="2624" spans="4:4" x14ac:dyDescent="0.45">
      <c r="D2624" s="47"/>
    </row>
    <row r="2625" spans="4:4" x14ac:dyDescent="0.45">
      <c r="D2625" s="47"/>
    </row>
    <row r="2626" spans="4:4" x14ac:dyDescent="0.45">
      <c r="D2626" s="47"/>
    </row>
    <row r="2627" spans="4:4" x14ac:dyDescent="0.45">
      <c r="D2627" s="47"/>
    </row>
    <row r="2628" spans="4:4" x14ac:dyDescent="0.45">
      <c r="D2628" s="47"/>
    </row>
    <row r="2629" spans="4:4" x14ac:dyDescent="0.45">
      <c r="D2629" s="47"/>
    </row>
    <row r="2630" spans="4:4" x14ac:dyDescent="0.45">
      <c r="D2630" s="47"/>
    </row>
    <row r="2631" spans="4:4" x14ac:dyDescent="0.45">
      <c r="D2631" s="47"/>
    </row>
    <row r="2632" spans="4:4" x14ac:dyDescent="0.45">
      <c r="D2632" s="47"/>
    </row>
    <row r="2633" spans="4:4" x14ac:dyDescent="0.45">
      <c r="D2633" s="47"/>
    </row>
    <row r="2634" spans="4:4" x14ac:dyDescent="0.45">
      <c r="D2634" s="47"/>
    </row>
    <row r="2635" spans="4:4" x14ac:dyDescent="0.45">
      <c r="D2635" s="47"/>
    </row>
    <row r="2636" spans="4:4" x14ac:dyDescent="0.45">
      <c r="D2636" s="47"/>
    </row>
    <row r="2637" spans="4:4" x14ac:dyDescent="0.45">
      <c r="D2637" s="47"/>
    </row>
    <row r="2638" spans="4:4" x14ac:dyDescent="0.45">
      <c r="D2638" s="47"/>
    </row>
    <row r="2639" spans="4:4" x14ac:dyDescent="0.45">
      <c r="D2639" s="47"/>
    </row>
    <row r="2640" spans="4:4" x14ac:dyDescent="0.45">
      <c r="D2640" s="47"/>
    </row>
    <row r="2641" spans="4:4" x14ac:dyDescent="0.45">
      <c r="D2641" s="47"/>
    </row>
    <row r="2642" spans="4:4" x14ac:dyDescent="0.45">
      <c r="D2642" s="47"/>
    </row>
    <row r="2643" spans="4:4" x14ac:dyDescent="0.45">
      <c r="D2643" s="47"/>
    </row>
    <row r="2644" spans="4:4" x14ac:dyDescent="0.45">
      <c r="D2644" s="47"/>
    </row>
    <row r="2645" spans="4:4" x14ac:dyDescent="0.45">
      <c r="D2645" s="47"/>
    </row>
    <row r="2646" spans="4:4" x14ac:dyDescent="0.45">
      <c r="D2646" s="47"/>
    </row>
    <row r="2647" spans="4:4" x14ac:dyDescent="0.45">
      <c r="D2647" s="47"/>
    </row>
    <row r="2648" spans="4:4" x14ac:dyDescent="0.45">
      <c r="D2648" s="47"/>
    </row>
    <row r="2649" spans="4:4" x14ac:dyDescent="0.45">
      <c r="D2649" s="47"/>
    </row>
    <row r="2650" spans="4:4" x14ac:dyDescent="0.45">
      <c r="D2650" s="47"/>
    </row>
    <row r="2651" spans="4:4" x14ac:dyDescent="0.45">
      <c r="D2651" s="47"/>
    </row>
    <row r="2652" spans="4:4" x14ac:dyDescent="0.45">
      <c r="D2652" s="47"/>
    </row>
    <row r="2653" spans="4:4" x14ac:dyDescent="0.45">
      <c r="D2653" s="47"/>
    </row>
    <row r="2654" spans="4:4" x14ac:dyDescent="0.45">
      <c r="D2654" s="47"/>
    </row>
    <row r="2655" spans="4:4" x14ac:dyDescent="0.45">
      <c r="D2655" s="47"/>
    </row>
    <row r="2656" spans="4:4" x14ac:dyDescent="0.45">
      <c r="D2656" s="47"/>
    </row>
    <row r="2657" spans="4:4" x14ac:dyDescent="0.45">
      <c r="D2657" s="47"/>
    </row>
    <row r="2658" spans="4:4" x14ac:dyDescent="0.45">
      <c r="D2658" s="47"/>
    </row>
    <row r="2659" spans="4:4" x14ac:dyDescent="0.45">
      <c r="D2659" s="47"/>
    </row>
    <row r="2660" spans="4:4" x14ac:dyDescent="0.45">
      <c r="D2660" s="47"/>
    </row>
    <row r="2661" spans="4:4" x14ac:dyDescent="0.45">
      <c r="D2661" s="47"/>
    </row>
    <row r="2662" spans="4:4" x14ac:dyDescent="0.45">
      <c r="D2662" s="47"/>
    </row>
    <row r="2663" spans="4:4" x14ac:dyDescent="0.45">
      <c r="D2663" s="47"/>
    </row>
    <row r="2664" spans="4:4" x14ac:dyDescent="0.45">
      <c r="D2664" s="47"/>
    </row>
    <row r="2665" spans="4:4" x14ac:dyDescent="0.45">
      <c r="D2665" s="47"/>
    </row>
    <row r="2666" spans="4:4" x14ac:dyDescent="0.45">
      <c r="D2666" s="47"/>
    </row>
    <row r="2667" spans="4:4" x14ac:dyDescent="0.45">
      <c r="D2667" s="47"/>
    </row>
    <row r="2668" spans="4:4" x14ac:dyDescent="0.45">
      <c r="D2668" s="47"/>
    </row>
    <row r="2669" spans="4:4" x14ac:dyDescent="0.45">
      <c r="D2669" s="47"/>
    </row>
    <row r="2670" spans="4:4" x14ac:dyDescent="0.45">
      <c r="D2670" s="47"/>
    </row>
    <row r="2671" spans="4:4" x14ac:dyDescent="0.45">
      <c r="D2671" s="47"/>
    </row>
    <row r="2672" spans="4:4" x14ac:dyDescent="0.45">
      <c r="D2672" s="47"/>
    </row>
    <row r="2673" spans="4:4" x14ac:dyDescent="0.45">
      <c r="D2673" s="47"/>
    </row>
    <row r="2674" spans="4:4" x14ac:dyDescent="0.45">
      <c r="D2674" s="47"/>
    </row>
    <row r="2675" spans="4:4" x14ac:dyDescent="0.45">
      <c r="D2675" s="47"/>
    </row>
    <row r="2676" spans="4:4" x14ac:dyDescent="0.45">
      <c r="D2676" s="47"/>
    </row>
    <row r="2677" spans="4:4" x14ac:dyDescent="0.45">
      <c r="D2677" s="47"/>
    </row>
    <row r="2678" spans="4:4" x14ac:dyDescent="0.45">
      <c r="D2678" s="47"/>
    </row>
    <row r="2679" spans="4:4" x14ac:dyDescent="0.45">
      <c r="D2679" s="47"/>
    </row>
    <row r="2680" spans="4:4" x14ac:dyDescent="0.45">
      <c r="D2680" s="47"/>
    </row>
    <row r="2681" spans="4:4" x14ac:dyDescent="0.45">
      <c r="D2681" s="47"/>
    </row>
    <row r="2682" spans="4:4" x14ac:dyDescent="0.45">
      <c r="D2682" s="47"/>
    </row>
    <row r="2683" spans="4:4" x14ac:dyDescent="0.45">
      <c r="D2683" s="47"/>
    </row>
    <row r="2684" spans="4:4" x14ac:dyDescent="0.45">
      <c r="D2684" s="47"/>
    </row>
    <row r="2685" spans="4:4" x14ac:dyDescent="0.45">
      <c r="D2685" s="47"/>
    </row>
    <row r="2686" spans="4:4" x14ac:dyDescent="0.45">
      <c r="D2686" s="47"/>
    </row>
    <row r="2687" spans="4:4" x14ac:dyDescent="0.45">
      <c r="D2687" s="47"/>
    </row>
    <row r="2688" spans="4:4" x14ac:dyDescent="0.45">
      <c r="D2688" s="47"/>
    </row>
    <row r="2689" spans="4:4" x14ac:dyDescent="0.45">
      <c r="D2689" s="47"/>
    </row>
    <row r="2690" spans="4:4" x14ac:dyDescent="0.45">
      <c r="D2690" s="47"/>
    </row>
    <row r="2691" spans="4:4" x14ac:dyDescent="0.45">
      <c r="D2691" s="47"/>
    </row>
    <row r="2692" spans="4:4" x14ac:dyDescent="0.45">
      <c r="D2692" s="47"/>
    </row>
    <row r="2693" spans="4:4" x14ac:dyDescent="0.45">
      <c r="D2693" s="47"/>
    </row>
    <row r="2694" spans="4:4" x14ac:dyDescent="0.45">
      <c r="D2694" s="47"/>
    </row>
    <row r="2695" spans="4:4" x14ac:dyDescent="0.45">
      <c r="D2695" s="47"/>
    </row>
    <row r="2696" spans="4:4" x14ac:dyDescent="0.45">
      <c r="D2696" s="47"/>
    </row>
    <row r="2697" spans="4:4" x14ac:dyDescent="0.45">
      <c r="D2697" s="47"/>
    </row>
    <row r="2698" spans="4:4" x14ac:dyDescent="0.45">
      <c r="D2698" s="47"/>
    </row>
    <row r="2699" spans="4:4" x14ac:dyDescent="0.45">
      <c r="D2699" s="47"/>
    </row>
    <row r="2700" spans="4:4" x14ac:dyDescent="0.45">
      <c r="D2700" s="47"/>
    </row>
    <row r="2701" spans="4:4" x14ac:dyDescent="0.45">
      <c r="D2701" s="47"/>
    </row>
    <row r="2702" spans="4:4" x14ac:dyDescent="0.45">
      <c r="D2702" s="47"/>
    </row>
    <row r="2703" spans="4:4" x14ac:dyDescent="0.45">
      <c r="D2703" s="47"/>
    </row>
    <row r="2704" spans="4:4" x14ac:dyDescent="0.45">
      <c r="D2704" s="47"/>
    </row>
    <row r="2705" spans="4:4" x14ac:dyDescent="0.45">
      <c r="D2705" s="47"/>
    </row>
    <row r="2706" spans="4:4" x14ac:dyDescent="0.45">
      <c r="D2706" s="47"/>
    </row>
    <row r="2707" spans="4:4" x14ac:dyDescent="0.45">
      <c r="D2707" s="47"/>
    </row>
    <row r="2708" spans="4:4" x14ac:dyDescent="0.45">
      <c r="D2708" s="47"/>
    </row>
    <row r="2709" spans="4:4" x14ac:dyDescent="0.45">
      <c r="D2709" s="47"/>
    </row>
    <row r="2710" spans="4:4" x14ac:dyDescent="0.45">
      <c r="D2710" s="47"/>
    </row>
    <row r="2711" spans="4:4" x14ac:dyDescent="0.45">
      <c r="D2711" s="47"/>
    </row>
    <row r="2712" spans="4:4" x14ac:dyDescent="0.45">
      <c r="D2712" s="47"/>
    </row>
    <row r="2713" spans="4:4" x14ac:dyDescent="0.45">
      <c r="D2713" s="47"/>
    </row>
    <row r="2714" spans="4:4" x14ac:dyDescent="0.45">
      <c r="D2714" s="47"/>
    </row>
    <row r="2715" spans="4:4" x14ac:dyDescent="0.45">
      <c r="D2715" s="47"/>
    </row>
    <row r="2716" spans="4:4" x14ac:dyDescent="0.45">
      <c r="D2716" s="47"/>
    </row>
    <row r="2717" spans="4:4" x14ac:dyDescent="0.45">
      <c r="D2717" s="47"/>
    </row>
    <row r="2718" spans="4:4" x14ac:dyDescent="0.45">
      <c r="D2718" s="47"/>
    </row>
    <row r="2719" spans="4:4" x14ac:dyDescent="0.45">
      <c r="D2719" s="47"/>
    </row>
    <row r="2720" spans="4:4" x14ac:dyDescent="0.45">
      <c r="D2720" s="47"/>
    </row>
    <row r="2721" spans="4:4" x14ac:dyDescent="0.45">
      <c r="D2721" s="47"/>
    </row>
    <row r="2722" spans="4:4" x14ac:dyDescent="0.45">
      <c r="D2722" s="47"/>
    </row>
    <row r="2723" spans="4:4" x14ac:dyDescent="0.45">
      <c r="D2723" s="47"/>
    </row>
    <row r="2724" spans="4:4" x14ac:dyDescent="0.45">
      <c r="D2724" s="47"/>
    </row>
    <row r="2725" spans="4:4" x14ac:dyDescent="0.45">
      <c r="D2725" s="47"/>
    </row>
    <row r="2726" spans="4:4" x14ac:dyDescent="0.45">
      <c r="D2726" s="47"/>
    </row>
    <row r="2727" spans="4:4" x14ac:dyDescent="0.45">
      <c r="D2727" s="47"/>
    </row>
    <row r="2728" spans="4:4" x14ac:dyDescent="0.45">
      <c r="D2728" s="47"/>
    </row>
    <row r="2729" spans="4:4" x14ac:dyDescent="0.45">
      <c r="D2729" s="47"/>
    </row>
    <row r="2730" spans="4:4" x14ac:dyDescent="0.45">
      <c r="D2730" s="47"/>
    </row>
    <row r="2731" spans="4:4" x14ac:dyDescent="0.45">
      <c r="D2731" s="47"/>
    </row>
    <row r="2732" spans="4:4" x14ac:dyDescent="0.45">
      <c r="D2732" s="47"/>
    </row>
    <row r="2733" spans="4:4" x14ac:dyDescent="0.45">
      <c r="D2733" s="47"/>
    </row>
    <row r="2734" spans="4:4" x14ac:dyDescent="0.45">
      <c r="D2734" s="47"/>
    </row>
    <row r="2735" spans="4:4" x14ac:dyDescent="0.45">
      <c r="D2735" s="47"/>
    </row>
    <row r="2736" spans="4:4" x14ac:dyDescent="0.45">
      <c r="D2736" s="47"/>
    </row>
    <row r="2737" spans="4:4" x14ac:dyDescent="0.45">
      <c r="D2737" s="47"/>
    </row>
    <row r="2738" spans="4:4" x14ac:dyDescent="0.45">
      <c r="D2738" s="47"/>
    </row>
    <row r="2739" spans="4:4" x14ac:dyDescent="0.45">
      <c r="D2739" s="47"/>
    </row>
    <row r="2740" spans="4:4" x14ac:dyDescent="0.45">
      <c r="D2740" s="47"/>
    </row>
    <row r="2741" spans="4:4" x14ac:dyDescent="0.45">
      <c r="D2741" s="47"/>
    </row>
    <row r="2742" spans="4:4" x14ac:dyDescent="0.45">
      <c r="D2742" s="47"/>
    </row>
    <row r="2743" spans="4:4" x14ac:dyDescent="0.45">
      <c r="D2743" s="47"/>
    </row>
    <row r="2744" spans="4:4" x14ac:dyDescent="0.45">
      <c r="D2744" s="47"/>
    </row>
    <row r="2745" spans="4:4" x14ac:dyDescent="0.45">
      <c r="D2745" s="47"/>
    </row>
    <row r="2746" spans="4:4" x14ac:dyDescent="0.45">
      <c r="D2746" s="47"/>
    </row>
    <row r="2747" spans="4:4" x14ac:dyDescent="0.45">
      <c r="D2747" s="47"/>
    </row>
    <row r="2748" spans="4:4" x14ac:dyDescent="0.45">
      <c r="D2748" s="47"/>
    </row>
    <row r="2749" spans="4:4" x14ac:dyDescent="0.45">
      <c r="D2749" s="47"/>
    </row>
    <row r="2750" spans="4:4" x14ac:dyDescent="0.45">
      <c r="D2750" s="47"/>
    </row>
    <row r="2751" spans="4:4" x14ac:dyDescent="0.45">
      <c r="D2751" s="47"/>
    </row>
    <row r="2752" spans="4:4" x14ac:dyDescent="0.45">
      <c r="D2752" s="47"/>
    </row>
    <row r="2753" spans="4:4" x14ac:dyDescent="0.45">
      <c r="D2753" s="47"/>
    </row>
    <row r="2754" spans="4:4" x14ac:dyDescent="0.45">
      <c r="D2754" s="47"/>
    </row>
    <row r="2755" spans="4:4" x14ac:dyDescent="0.45">
      <c r="D2755" s="47"/>
    </row>
    <row r="2756" spans="4:4" x14ac:dyDescent="0.45">
      <c r="D2756" s="47"/>
    </row>
    <row r="2757" spans="4:4" x14ac:dyDescent="0.45">
      <c r="D2757" s="47"/>
    </row>
    <row r="2758" spans="4:4" x14ac:dyDescent="0.45">
      <c r="D2758" s="47"/>
    </row>
    <row r="2759" spans="4:4" x14ac:dyDescent="0.45">
      <c r="D2759" s="47"/>
    </row>
    <row r="2760" spans="4:4" x14ac:dyDescent="0.45">
      <c r="D2760" s="47"/>
    </row>
    <row r="2761" spans="4:4" x14ac:dyDescent="0.45">
      <c r="D2761" s="47"/>
    </row>
    <row r="2762" spans="4:4" x14ac:dyDescent="0.45">
      <c r="D2762" s="47"/>
    </row>
    <row r="2763" spans="4:4" x14ac:dyDescent="0.45">
      <c r="D2763" s="47"/>
    </row>
    <row r="2764" spans="4:4" x14ac:dyDescent="0.45">
      <c r="D2764" s="47"/>
    </row>
    <row r="2765" spans="4:4" x14ac:dyDescent="0.45">
      <c r="D2765" s="47"/>
    </row>
    <row r="2766" spans="4:4" x14ac:dyDescent="0.45">
      <c r="D2766" s="47"/>
    </row>
    <row r="2767" spans="4:4" x14ac:dyDescent="0.45">
      <c r="D2767" s="47"/>
    </row>
    <row r="2768" spans="4:4" x14ac:dyDescent="0.45">
      <c r="D2768" s="47"/>
    </row>
    <row r="2769" spans="4:4" x14ac:dyDescent="0.45">
      <c r="D2769" s="47"/>
    </row>
    <row r="2770" spans="4:4" x14ac:dyDescent="0.45">
      <c r="D2770" s="47"/>
    </row>
    <row r="2771" spans="4:4" x14ac:dyDescent="0.45">
      <c r="D2771" s="47"/>
    </row>
    <row r="2772" spans="4:4" x14ac:dyDescent="0.45">
      <c r="D2772" s="47"/>
    </row>
    <row r="2773" spans="4:4" x14ac:dyDescent="0.45">
      <c r="D2773" s="47"/>
    </row>
    <row r="2774" spans="4:4" x14ac:dyDescent="0.45">
      <c r="D2774" s="47"/>
    </row>
    <row r="2775" spans="4:4" x14ac:dyDescent="0.45">
      <c r="D2775" s="47"/>
    </row>
    <row r="2776" spans="4:4" x14ac:dyDescent="0.45">
      <c r="D2776" s="47"/>
    </row>
    <row r="2777" spans="4:4" x14ac:dyDescent="0.45">
      <c r="D2777" s="47"/>
    </row>
    <row r="2778" spans="4:4" x14ac:dyDescent="0.45">
      <c r="D2778" s="47"/>
    </row>
    <row r="2779" spans="4:4" x14ac:dyDescent="0.45">
      <c r="D2779" s="47"/>
    </row>
    <row r="2780" spans="4:4" x14ac:dyDescent="0.45">
      <c r="D2780" s="47"/>
    </row>
    <row r="2781" spans="4:4" x14ac:dyDescent="0.45">
      <c r="D2781" s="47"/>
    </row>
    <row r="2782" spans="4:4" x14ac:dyDescent="0.45">
      <c r="D2782" s="47"/>
    </row>
    <row r="2783" spans="4:4" x14ac:dyDescent="0.45">
      <c r="D2783" s="47"/>
    </row>
    <row r="2784" spans="4:4" x14ac:dyDescent="0.45">
      <c r="D2784" s="47"/>
    </row>
    <row r="2785" spans="4:4" x14ac:dyDescent="0.45">
      <c r="D2785" s="47"/>
    </row>
    <row r="2786" spans="4:4" x14ac:dyDescent="0.45">
      <c r="D2786" s="47"/>
    </row>
    <row r="2787" spans="4:4" x14ac:dyDescent="0.45">
      <c r="D2787" s="47"/>
    </row>
    <row r="2788" spans="4:4" x14ac:dyDescent="0.45">
      <c r="D2788" s="47"/>
    </row>
    <row r="2789" spans="4:4" x14ac:dyDescent="0.45">
      <c r="D2789" s="47"/>
    </row>
    <row r="2790" spans="4:4" x14ac:dyDescent="0.45">
      <c r="D2790" s="47"/>
    </row>
    <row r="2791" spans="4:4" x14ac:dyDescent="0.45">
      <c r="D2791" s="47"/>
    </row>
    <row r="2792" spans="4:4" x14ac:dyDescent="0.45">
      <c r="D2792" s="47"/>
    </row>
    <row r="2793" spans="4:4" x14ac:dyDescent="0.45">
      <c r="D2793" s="47"/>
    </row>
    <row r="2794" spans="4:4" x14ac:dyDescent="0.45">
      <c r="D2794" s="47"/>
    </row>
    <row r="2795" spans="4:4" x14ac:dyDescent="0.45">
      <c r="D2795" s="47"/>
    </row>
    <row r="2796" spans="4:4" x14ac:dyDescent="0.45">
      <c r="D2796" s="47"/>
    </row>
    <row r="2797" spans="4:4" x14ac:dyDescent="0.45">
      <c r="D2797" s="47"/>
    </row>
    <row r="2798" spans="4:4" x14ac:dyDescent="0.45">
      <c r="D2798" s="47"/>
    </row>
    <row r="2799" spans="4:4" x14ac:dyDescent="0.45">
      <c r="D2799" s="47"/>
    </row>
    <row r="2800" spans="4:4" x14ac:dyDescent="0.45">
      <c r="D2800" s="47"/>
    </row>
    <row r="2801" spans="4:4" x14ac:dyDescent="0.45">
      <c r="D2801" s="47"/>
    </row>
    <row r="2802" spans="4:4" x14ac:dyDescent="0.45">
      <c r="D2802" s="47"/>
    </row>
    <row r="2803" spans="4:4" x14ac:dyDescent="0.45">
      <c r="D2803" s="47"/>
    </row>
    <row r="2804" spans="4:4" x14ac:dyDescent="0.45">
      <c r="D2804" s="47"/>
    </row>
    <row r="2805" spans="4:4" x14ac:dyDescent="0.45">
      <c r="D2805" s="47"/>
    </row>
    <row r="2806" spans="4:4" x14ac:dyDescent="0.45">
      <c r="D2806" s="47"/>
    </row>
    <row r="2807" spans="4:4" x14ac:dyDescent="0.45">
      <c r="D2807" s="47"/>
    </row>
    <row r="2808" spans="4:4" x14ac:dyDescent="0.45">
      <c r="D2808" s="47"/>
    </row>
    <row r="2809" spans="4:4" x14ac:dyDescent="0.45">
      <c r="D2809" s="47"/>
    </row>
    <row r="2810" spans="4:4" x14ac:dyDescent="0.45">
      <c r="D2810" s="47"/>
    </row>
    <row r="2811" spans="4:4" x14ac:dyDescent="0.45">
      <c r="D2811" s="47"/>
    </row>
    <row r="2812" spans="4:4" x14ac:dyDescent="0.45">
      <c r="D2812" s="47"/>
    </row>
    <row r="2813" spans="4:4" x14ac:dyDescent="0.45">
      <c r="D2813" s="47"/>
    </row>
    <row r="2814" spans="4:4" x14ac:dyDescent="0.45">
      <c r="D2814" s="47"/>
    </row>
    <row r="2815" spans="4:4" x14ac:dyDescent="0.45">
      <c r="D2815" s="47"/>
    </row>
    <row r="2816" spans="4:4" x14ac:dyDescent="0.45">
      <c r="D2816" s="47"/>
    </row>
    <row r="2817" spans="4:4" x14ac:dyDescent="0.45">
      <c r="D2817" s="47"/>
    </row>
    <row r="2818" spans="4:4" x14ac:dyDescent="0.45">
      <c r="D2818" s="47"/>
    </row>
    <row r="2819" spans="4:4" x14ac:dyDescent="0.45">
      <c r="D2819" s="47"/>
    </row>
    <row r="2820" spans="4:4" x14ac:dyDescent="0.45">
      <c r="D2820" s="47"/>
    </row>
    <row r="2821" spans="4:4" x14ac:dyDescent="0.45">
      <c r="D2821" s="47"/>
    </row>
    <row r="2822" spans="4:4" x14ac:dyDescent="0.45">
      <c r="D2822" s="47"/>
    </row>
    <row r="2823" spans="4:4" x14ac:dyDescent="0.45">
      <c r="D2823" s="47"/>
    </row>
    <row r="2824" spans="4:4" x14ac:dyDescent="0.45">
      <c r="D2824" s="47"/>
    </row>
    <row r="2825" spans="4:4" x14ac:dyDescent="0.45">
      <c r="D2825" s="47"/>
    </row>
    <row r="2826" spans="4:4" x14ac:dyDescent="0.45">
      <c r="D2826" s="47"/>
    </row>
    <row r="2827" spans="4:4" x14ac:dyDescent="0.45">
      <c r="D2827" s="47"/>
    </row>
    <row r="2828" spans="4:4" x14ac:dyDescent="0.45">
      <c r="D2828" s="47"/>
    </row>
    <row r="2829" spans="4:4" x14ac:dyDescent="0.45">
      <c r="D2829" s="47"/>
    </row>
    <row r="2830" spans="4:4" x14ac:dyDescent="0.45">
      <c r="D2830" s="47"/>
    </row>
    <row r="2831" spans="4:4" x14ac:dyDescent="0.45">
      <c r="D2831" s="47"/>
    </row>
    <row r="2832" spans="4:4" x14ac:dyDescent="0.45">
      <c r="D2832" s="47"/>
    </row>
    <row r="2833" spans="4:4" x14ac:dyDescent="0.45">
      <c r="D2833" s="47"/>
    </row>
    <row r="2834" spans="4:4" x14ac:dyDescent="0.45">
      <c r="D2834" s="47"/>
    </row>
    <row r="2835" spans="4:4" x14ac:dyDescent="0.45">
      <c r="D2835" s="47"/>
    </row>
    <row r="2836" spans="4:4" x14ac:dyDescent="0.45">
      <c r="D2836" s="47"/>
    </row>
    <row r="2837" spans="4:4" x14ac:dyDescent="0.45">
      <c r="D2837" s="47"/>
    </row>
    <row r="2838" spans="4:4" x14ac:dyDescent="0.45">
      <c r="D2838" s="47"/>
    </row>
    <row r="2839" spans="4:4" x14ac:dyDescent="0.45">
      <c r="D2839" s="47"/>
    </row>
    <row r="2840" spans="4:4" x14ac:dyDescent="0.45">
      <c r="D2840" s="47"/>
    </row>
    <row r="2841" spans="4:4" x14ac:dyDescent="0.45">
      <c r="D2841" s="47"/>
    </row>
    <row r="2842" spans="4:4" x14ac:dyDescent="0.45">
      <c r="D2842" s="47"/>
    </row>
    <row r="2843" spans="4:4" x14ac:dyDescent="0.45">
      <c r="D2843" s="47"/>
    </row>
    <row r="2844" spans="4:4" x14ac:dyDescent="0.45">
      <c r="D2844" s="47"/>
    </row>
    <row r="2845" spans="4:4" x14ac:dyDescent="0.45">
      <c r="D2845" s="47"/>
    </row>
    <row r="2846" spans="4:4" x14ac:dyDescent="0.45">
      <c r="D2846" s="47"/>
    </row>
    <row r="2847" spans="4:4" x14ac:dyDescent="0.45">
      <c r="D2847" s="47"/>
    </row>
    <row r="2848" spans="4:4" x14ac:dyDescent="0.45">
      <c r="D2848" s="47"/>
    </row>
    <row r="2849" spans="4:4" x14ac:dyDescent="0.45">
      <c r="D2849" s="47"/>
    </row>
    <row r="2850" spans="4:4" x14ac:dyDescent="0.45">
      <c r="D2850" s="47"/>
    </row>
    <row r="2851" spans="4:4" x14ac:dyDescent="0.45">
      <c r="D2851" s="47"/>
    </row>
    <row r="2852" spans="4:4" x14ac:dyDescent="0.45">
      <c r="D2852" s="47"/>
    </row>
    <row r="2853" spans="4:4" x14ac:dyDescent="0.45">
      <c r="D2853" s="47"/>
    </row>
    <row r="2854" spans="4:4" x14ac:dyDescent="0.45">
      <c r="D2854" s="47"/>
    </row>
    <row r="2855" spans="4:4" x14ac:dyDescent="0.45">
      <c r="D2855" s="47"/>
    </row>
    <row r="2856" spans="4:4" x14ac:dyDescent="0.45">
      <c r="D2856" s="47"/>
    </row>
    <row r="2857" spans="4:4" x14ac:dyDescent="0.45">
      <c r="D2857" s="47"/>
    </row>
    <row r="2858" spans="4:4" x14ac:dyDescent="0.45">
      <c r="D2858" s="47"/>
    </row>
    <row r="2859" spans="4:4" x14ac:dyDescent="0.45">
      <c r="D2859" s="47"/>
    </row>
    <row r="2860" spans="4:4" x14ac:dyDescent="0.45">
      <c r="D2860" s="47"/>
    </row>
    <row r="2861" spans="4:4" x14ac:dyDescent="0.45">
      <c r="D2861" s="47"/>
    </row>
    <row r="2862" spans="4:4" x14ac:dyDescent="0.45">
      <c r="D2862" s="47"/>
    </row>
    <row r="2863" spans="4:4" x14ac:dyDescent="0.45">
      <c r="D2863" s="47"/>
    </row>
    <row r="2864" spans="4:4" x14ac:dyDescent="0.45">
      <c r="D2864" s="47"/>
    </row>
    <row r="2865" spans="4:4" x14ac:dyDescent="0.45">
      <c r="D2865" s="47"/>
    </row>
    <row r="2866" spans="4:4" x14ac:dyDescent="0.45">
      <c r="D2866" s="47"/>
    </row>
    <row r="2867" spans="4:4" x14ac:dyDescent="0.45">
      <c r="D2867" s="47"/>
    </row>
    <row r="2868" spans="4:4" x14ac:dyDescent="0.45">
      <c r="D2868" s="47"/>
    </row>
    <row r="2869" spans="4:4" x14ac:dyDescent="0.45">
      <c r="D2869" s="47"/>
    </row>
    <row r="2870" spans="4:4" x14ac:dyDescent="0.45">
      <c r="D2870" s="47"/>
    </row>
    <row r="2871" spans="4:4" x14ac:dyDescent="0.45">
      <c r="D2871" s="47"/>
    </row>
    <row r="2872" spans="4:4" x14ac:dyDescent="0.45">
      <c r="D2872" s="47"/>
    </row>
    <row r="2873" spans="4:4" x14ac:dyDescent="0.45">
      <c r="D2873" s="47"/>
    </row>
    <row r="2874" spans="4:4" x14ac:dyDescent="0.45">
      <c r="D2874" s="47"/>
    </row>
    <row r="2875" spans="4:4" x14ac:dyDescent="0.45">
      <c r="D2875" s="47"/>
    </row>
    <row r="2876" spans="4:4" x14ac:dyDescent="0.45">
      <c r="D2876" s="47"/>
    </row>
    <row r="2877" spans="4:4" x14ac:dyDescent="0.45">
      <c r="D2877" s="47"/>
    </row>
    <row r="2878" spans="4:4" x14ac:dyDescent="0.45">
      <c r="D2878" s="47"/>
    </row>
    <row r="2879" spans="4:4" x14ac:dyDescent="0.45">
      <c r="D2879" s="47"/>
    </row>
    <row r="2880" spans="4:4" x14ac:dyDescent="0.45">
      <c r="D2880" s="47"/>
    </row>
    <row r="2881" spans="4:4" x14ac:dyDescent="0.45">
      <c r="D2881" s="47"/>
    </row>
    <row r="2882" spans="4:4" x14ac:dyDescent="0.45">
      <c r="D2882" s="47"/>
    </row>
    <row r="2883" spans="4:4" x14ac:dyDescent="0.45">
      <c r="D2883" s="47"/>
    </row>
    <row r="2884" spans="4:4" x14ac:dyDescent="0.45">
      <c r="D2884" s="47"/>
    </row>
    <row r="2885" spans="4:4" x14ac:dyDescent="0.45">
      <c r="D2885" s="47"/>
    </row>
    <row r="2886" spans="4:4" x14ac:dyDescent="0.45">
      <c r="D2886" s="47"/>
    </row>
    <row r="2887" spans="4:4" x14ac:dyDescent="0.45">
      <c r="D2887" s="47"/>
    </row>
    <row r="2888" spans="4:4" x14ac:dyDescent="0.45">
      <c r="D2888" s="47"/>
    </row>
    <row r="2889" spans="4:4" x14ac:dyDescent="0.45">
      <c r="D2889" s="47"/>
    </row>
    <row r="2890" spans="4:4" x14ac:dyDescent="0.45">
      <c r="D2890" s="47"/>
    </row>
    <row r="2891" spans="4:4" x14ac:dyDescent="0.45">
      <c r="D2891" s="47"/>
    </row>
    <row r="2892" spans="4:4" x14ac:dyDescent="0.45">
      <c r="D2892" s="47"/>
    </row>
    <row r="2893" spans="4:4" x14ac:dyDescent="0.45">
      <c r="D2893" s="47"/>
    </row>
    <row r="2894" spans="4:4" x14ac:dyDescent="0.45">
      <c r="D2894" s="47"/>
    </row>
    <row r="2895" spans="4:4" x14ac:dyDescent="0.45">
      <c r="D2895" s="47"/>
    </row>
    <row r="2896" spans="4:4" x14ac:dyDescent="0.45">
      <c r="D2896" s="47"/>
    </row>
    <row r="2897" spans="4:4" x14ac:dyDescent="0.45">
      <c r="D2897" s="47"/>
    </row>
    <row r="2898" spans="4:4" x14ac:dyDescent="0.45">
      <c r="D2898" s="47"/>
    </row>
    <row r="2899" spans="4:4" x14ac:dyDescent="0.45">
      <c r="D2899" s="47"/>
    </row>
    <row r="2900" spans="4:4" x14ac:dyDescent="0.45">
      <c r="D2900" s="47"/>
    </row>
    <row r="2901" spans="4:4" x14ac:dyDescent="0.45">
      <c r="D2901" s="47"/>
    </row>
    <row r="2902" spans="4:4" x14ac:dyDescent="0.45">
      <c r="D2902" s="47"/>
    </row>
    <row r="2903" spans="4:4" x14ac:dyDescent="0.45">
      <c r="D2903" s="47"/>
    </row>
    <row r="2904" spans="4:4" x14ac:dyDescent="0.45">
      <c r="D2904" s="47"/>
    </row>
    <row r="2905" spans="4:4" x14ac:dyDescent="0.45">
      <c r="D2905" s="47"/>
    </row>
    <row r="2906" spans="4:4" x14ac:dyDescent="0.45">
      <c r="D2906" s="47"/>
    </row>
    <row r="2907" spans="4:4" x14ac:dyDescent="0.45">
      <c r="D2907" s="47"/>
    </row>
    <row r="2908" spans="4:4" x14ac:dyDescent="0.45">
      <c r="D2908" s="47"/>
    </row>
    <row r="2909" spans="4:4" x14ac:dyDescent="0.45">
      <c r="D2909" s="47"/>
    </row>
    <row r="2910" spans="4:4" x14ac:dyDescent="0.45">
      <c r="D2910" s="47"/>
    </row>
    <row r="2911" spans="4:4" x14ac:dyDescent="0.45">
      <c r="D2911" s="47"/>
    </row>
    <row r="2912" spans="4:4" x14ac:dyDescent="0.45">
      <c r="D2912" s="47"/>
    </row>
    <row r="2913" spans="4:4" x14ac:dyDescent="0.45">
      <c r="D2913" s="47"/>
    </row>
    <row r="2914" spans="4:4" x14ac:dyDescent="0.45">
      <c r="D2914" s="47"/>
    </row>
    <row r="2915" spans="4:4" x14ac:dyDescent="0.45">
      <c r="D2915" s="47"/>
    </row>
    <row r="2916" spans="4:4" x14ac:dyDescent="0.45">
      <c r="D2916" s="47"/>
    </row>
    <row r="2917" spans="4:4" x14ac:dyDescent="0.45">
      <c r="D2917" s="47"/>
    </row>
    <row r="2918" spans="4:4" x14ac:dyDescent="0.45">
      <c r="D2918" s="47"/>
    </row>
    <row r="2919" spans="4:4" x14ac:dyDescent="0.45">
      <c r="D2919" s="47"/>
    </row>
    <row r="2920" spans="4:4" x14ac:dyDescent="0.45">
      <c r="D2920" s="47"/>
    </row>
    <row r="2921" spans="4:4" x14ac:dyDescent="0.45">
      <c r="D2921" s="47"/>
    </row>
    <row r="2922" spans="4:4" x14ac:dyDescent="0.45">
      <c r="D2922" s="47"/>
    </row>
    <row r="2923" spans="4:4" x14ac:dyDescent="0.45">
      <c r="D2923" s="47"/>
    </row>
    <row r="2924" spans="4:4" x14ac:dyDescent="0.45">
      <c r="D2924" s="47"/>
    </row>
    <row r="2925" spans="4:4" x14ac:dyDescent="0.45">
      <c r="D2925" s="47"/>
    </row>
    <row r="2926" spans="4:4" x14ac:dyDescent="0.45">
      <c r="D2926" s="47"/>
    </row>
    <row r="2927" spans="4:4" x14ac:dyDescent="0.45">
      <c r="D2927" s="47"/>
    </row>
    <row r="2928" spans="4:4" x14ac:dyDescent="0.45">
      <c r="D2928" s="47"/>
    </row>
    <row r="2929" spans="4:4" x14ac:dyDescent="0.45">
      <c r="D2929" s="47"/>
    </row>
    <row r="2930" spans="4:4" x14ac:dyDescent="0.45">
      <c r="D2930" s="47"/>
    </row>
    <row r="2931" spans="4:4" x14ac:dyDescent="0.45">
      <c r="D2931" s="47"/>
    </row>
    <row r="2932" spans="4:4" x14ac:dyDescent="0.45">
      <c r="D2932" s="47"/>
    </row>
    <row r="2933" spans="4:4" x14ac:dyDescent="0.45">
      <c r="D2933" s="47"/>
    </row>
    <row r="2934" spans="4:4" x14ac:dyDescent="0.45">
      <c r="D2934" s="47"/>
    </row>
    <row r="2935" spans="4:4" x14ac:dyDescent="0.45">
      <c r="D2935" s="47"/>
    </row>
    <row r="2936" spans="4:4" x14ac:dyDescent="0.45">
      <c r="D2936" s="47"/>
    </row>
    <row r="2937" spans="4:4" x14ac:dyDescent="0.45">
      <c r="D2937" s="47"/>
    </row>
    <row r="2938" spans="4:4" x14ac:dyDescent="0.45">
      <c r="D2938" s="47"/>
    </row>
    <row r="2939" spans="4:4" x14ac:dyDescent="0.45">
      <c r="D2939" s="47"/>
    </row>
    <row r="2940" spans="4:4" x14ac:dyDescent="0.45">
      <c r="D2940" s="47"/>
    </row>
    <row r="2941" spans="4:4" x14ac:dyDescent="0.45">
      <c r="D2941" s="47"/>
    </row>
    <row r="2942" spans="4:4" x14ac:dyDescent="0.45">
      <c r="D2942" s="47"/>
    </row>
    <row r="2943" spans="4:4" x14ac:dyDescent="0.45">
      <c r="D2943" s="47"/>
    </row>
    <row r="2944" spans="4:4" x14ac:dyDescent="0.45">
      <c r="D2944" s="47"/>
    </row>
    <row r="2945" spans="4:4" x14ac:dyDescent="0.45">
      <c r="D2945" s="47"/>
    </row>
    <row r="2946" spans="4:4" x14ac:dyDescent="0.45">
      <c r="D2946" s="47"/>
    </row>
    <row r="2947" spans="4:4" x14ac:dyDescent="0.45">
      <c r="D2947" s="47"/>
    </row>
    <row r="2948" spans="4:4" x14ac:dyDescent="0.45">
      <c r="D2948" s="47"/>
    </row>
    <row r="2949" spans="4:4" x14ac:dyDescent="0.45">
      <c r="D2949" s="47"/>
    </row>
    <row r="2950" spans="4:4" x14ac:dyDescent="0.45">
      <c r="D2950" s="47"/>
    </row>
    <row r="2951" spans="4:4" x14ac:dyDescent="0.45">
      <c r="D2951" s="47"/>
    </row>
    <row r="2952" spans="4:4" x14ac:dyDescent="0.45">
      <c r="D2952" s="47"/>
    </row>
    <row r="2953" spans="4:4" x14ac:dyDescent="0.45">
      <c r="D2953" s="47"/>
    </row>
    <row r="2954" spans="4:4" x14ac:dyDescent="0.45">
      <c r="D2954" s="47"/>
    </row>
    <row r="2955" spans="4:4" x14ac:dyDescent="0.45">
      <c r="D2955" s="47"/>
    </row>
    <row r="2956" spans="4:4" x14ac:dyDescent="0.45">
      <c r="D2956" s="47"/>
    </row>
    <row r="2957" spans="4:4" x14ac:dyDescent="0.45">
      <c r="D2957" s="47"/>
    </row>
    <row r="2958" spans="4:4" x14ac:dyDescent="0.45">
      <c r="D2958" s="47"/>
    </row>
    <row r="2959" spans="4:4" x14ac:dyDescent="0.45">
      <c r="D2959" s="47"/>
    </row>
    <row r="2960" spans="4:4" x14ac:dyDescent="0.45">
      <c r="D2960" s="47"/>
    </row>
    <row r="2961" spans="4:4" x14ac:dyDescent="0.45">
      <c r="D2961" s="47"/>
    </row>
    <row r="2962" spans="4:4" x14ac:dyDescent="0.45">
      <c r="D2962" s="47"/>
    </row>
    <row r="2963" spans="4:4" x14ac:dyDescent="0.45">
      <c r="D2963" s="47"/>
    </row>
    <row r="2964" spans="4:4" x14ac:dyDescent="0.45">
      <c r="D2964" s="47"/>
    </row>
    <row r="2965" spans="4:4" x14ac:dyDescent="0.45">
      <c r="D2965" s="47"/>
    </row>
    <row r="2966" spans="4:4" x14ac:dyDescent="0.45">
      <c r="D2966" s="47"/>
    </row>
    <row r="2967" spans="4:4" x14ac:dyDescent="0.45">
      <c r="D2967" s="47"/>
    </row>
    <row r="2968" spans="4:4" x14ac:dyDescent="0.45">
      <c r="D2968" s="47"/>
    </row>
    <row r="2969" spans="4:4" x14ac:dyDescent="0.45">
      <c r="D2969" s="47"/>
    </row>
    <row r="2970" spans="4:4" x14ac:dyDescent="0.45">
      <c r="D2970" s="47"/>
    </row>
    <row r="2971" spans="4:4" x14ac:dyDescent="0.45">
      <c r="D2971" s="47"/>
    </row>
    <row r="2972" spans="4:4" x14ac:dyDescent="0.45">
      <c r="D2972" s="47"/>
    </row>
    <row r="2973" spans="4:4" x14ac:dyDescent="0.45">
      <c r="D2973" s="47"/>
    </row>
    <row r="2974" spans="4:4" x14ac:dyDescent="0.45">
      <c r="D2974" s="47"/>
    </row>
    <row r="2975" spans="4:4" x14ac:dyDescent="0.45">
      <c r="D2975" s="47"/>
    </row>
    <row r="2976" spans="4:4" x14ac:dyDescent="0.45">
      <c r="D2976" s="47"/>
    </row>
    <row r="2977" spans="4:4" x14ac:dyDescent="0.45">
      <c r="D2977" s="47"/>
    </row>
    <row r="2978" spans="4:4" x14ac:dyDescent="0.45">
      <c r="D2978" s="47"/>
    </row>
    <row r="2979" spans="4:4" x14ac:dyDescent="0.45">
      <c r="D2979" s="47"/>
    </row>
    <row r="2980" spans="4:4" x14ac:dyDescent="0.45">
      <c r="D2980" s="47"/>
    </row>
    <row r="2981" spans="4:4" x14ac:dyDescent="0.45">
      <c r="D2981" s="47"/>
    </row>
    <row r="2982" spans="4:4" x14ac:dyDescent="0.45">
      <c r="D2982" s="47"/>
    </row>
    <row r="2983" spans="4:4" x14ac:dyDescent="0.45">
      <c r="D2983" s="47"/>
    </row>
    <row r="2984" spans="4:4" x14ac:dyDescent="0.45">
      <c r="D2984" s="47"/>
    </row>
    <row r="2985" spans="4:4" x14ac:dyDescent="0.45">
      <c r="D2985" s="47"/>
    </row>
    <row r="2986" spans="4:4" x14ac:dyDescent="0.45">
      <c r="D2986" s="47"/>
    </row>
    <row r="2987" spans="4:4" x14ac:dyDescent="0.45">
      <c r="D2987" s="47"/>
    </row>
    <row r="2988" spans="4:4" x14ac:dyDescent="0.45">
      <c r="D2988" s="47"/>
    </row>
    <row r="2989" spans="4:4" x14ac:dyDescent="0.45">
      <c r="D2989" s="47"/>
    </row>
    <row r="2990" spans="4:4" x14ac:dyDescent="0.45">
      <c r="D2990" s="47"/>
    </row>
    <row r="2991" spans="4:4" x14ac:dyDescent="0.45">
      <c r="D2991" s="47"/>
    </row>
    <row r="2992" spans="4:4" x14ac:dyDescent="0.45">
      <c r="D2992" s="47"/>
    </row>
    <row r="2993" spans="4:4" x14ac:dyDescent="0.45">
      <c r="D2993" s="47"/>
    </row>
    <row r="2994" spans="4:4" x14ac:dyDescent="0.45">
      <c r="D2994" s="47"/>
    </row>
    <row r="2995" spans="4:4" x14ac:dyDescent="0.45">
      <c r="D2995" s="47"/>
    </row>
    <row r="2996" spans="4:4" x14ac:dyDescent="0.45">
      <c r="D2996" s="47"/>
    </row>
    <row r="2997" spans="4:4" x14ac:dyDescent="0.45">
      <c r="D2997" s="47"/>
    </row>
    <row r="2998" spans="4:4" x14ac:dyDescent="0.45">
      <c r="D2998" s="47"/>
    </row>
    <row r="2999" spans="4:4" x14ac:dyDescent="0.45">
      <c r="D2999" s="47"/>
    </row>
    <row r="3000" spans="4:4" x14ac:dyDescent="0.45">
      <c r="D3000" s="47"/>
    </row>
    <row r="3001" spans="4:4" x14ac:dyDescent="0.45">
      <c r="D3001" s="47"/>
    </row>
    <row r="3002" spans="4:4" x14ac:dyDescent="0.45">
      <c r="D3002" s="47"/>
    </row>
    <row r="3003" spans="4:4" x14ac:dyDescent="0.45">
      <c r="D3003" s="47"/>
    </row>
    <row r="3004" spans="4:4" x14ac:dyDescent="0.45">
      <c r="D3004" s="47"/>
    </row>
    <row r="3005" spans="4:4" x14ac:dyDescent="0.45">
      <c r="D3005" s="47"/>
    </row>
    <row r="3006" spans="4:4" x14ac:dyDescent="0.45">
      <c r="D3006" s="47"/>
    </row>
    <row r="3007" spans="4:4" x14ac:dyDescent="0.45">
      <c r="D3007" s="47"/>
    </row>
    <row r="3008" spans="4:4" x14ac:dyDescent="0.45">
      <c r="D3008" s="47"/>
    </row>
    <row r="3009" spans="4:4" x14ac:dyDescent="0.45">
      <c r="D3009" s="47"/>
    </row>
    <row r="3010" spans="4:4" x14ac:dyDescent="0.45">
      <c r="D3010" s="47"/>
    </row>
    <row r="3011" spans="4:4" x14ac:dyDescent="0.45">
      <c r="D3011" s="47"/>
    </row>
    <row r="3012" spans="4:4" x14ac:dyDescent="0.45">
      <c r="D3012" s="47"/>
    </row>
    <row r="3013" spans="4:4" x14ac:dyDescent="0.45">
      <c r="D3013" s="47"/>
    </row>
    <row r="3014" spans="4:4" x14ac:dyDescent="0.45">
      <c r="D3014" s="47"/>
    </row>
    <row r="3015" spans="4:4" x14ac:dyDescent="0.45">
      <c r="D3015" s="47"/>
    </row>
    <row r="3016" spans="4:4" x14ac:dyDescent="0.45">
      <c r="D3016" s="47"/>
    </row>
    <row r="3017" spans="4:4" x14ac:dyDescent="0.45">
      <c r="D3017" s="47"/>
    </row>
    <row r="3018" spans="4:4" x14ac:dyDescent="0.45">
      <c r="D3018" s="47"/>
    </row>
    <row r="3019" spans="4:4" x14ac:dyDescent="0.45">
      <c r="D3019" s="47"/>
    </row>
    <row r="3020" spans="4:4" x14ac:dyDescent="0.45">
      <c r="D3020" s="47"/>
    </row>
    <row r="3021" spans="4:4" x14ac:dyDescent="0.45">
      <c r="D3021" s="47"/>
    </row>
    <row r="3022" spans="4:4" x14ac:dyDescent="0.45">
      <c r="D3022" s="47"/>
    </row>
    <row r="3023" spans="4:4" x14ac:dyDescent="0.45">
      <c r="D3023" s="47"/>
    </row>
    <row r="3024" spans="4:4" x14ac:dyDescent="0.45">
      <c r="D3024" s="47"/>
    </row>
    <row r="3025" spans="4:4" x14ac:dyDescent="0.45">
      <c r="D3025" s="47"/>
    </row>
    <row r="3026" spans="4:4" x14ac:dyDescent="0.45">
      <c r="D3026" s="47"/>
    </row>
    <row r="3027" spans="4:4" x14ac:dyDescent="0.45">
      <c r="D3027" s="47"/>
    </row>
    <row r="3028" spans="4:4" x14ac:dyDescent="0.45">
      <c r="D3028" s="47"/>
    </row>
    <row r="3029" spans="4:4" x14ac:dyDescent="0.45">
      <c r="D3029" s="47"/>
    </row>
    <row r="3030" spans="4:4" x14ac:dyDescent="0.45">
      <c r="D3030" s="47"/>
    </row>
    <row r="3031" spans="4:4" x14ac:dyDescent="0.45">
      <c r="D3031" s="47"/>
    </row>
    <row r="3032" spans="4:4" x14ac:dyDescent="0.45">
      <c r="D3032" s="47"/>
    </row>
    <row r="3033" spans="4:4" x14ac:dyDescent="0.45">
      <c r="D3033" s="47"/>
    </row>
    <row r="3034" spans="4:4" x14ac:dyDescent="0.45">
      <c r="D3034" s="47"/>
    </row>
    <row r="3035" spans="4:4" x14ac:dyDescent="0.45">
      <c r="D3035" s="47"/>
    </row>
    <row r="3036" spans="4:4" x14ac:dyDescent="0.45">
      <c r="D3036" s="47"/>
    </row>
    <row r="3037" spans="4:4" x14ac:dyDescent="0.45">
      <c r="D3037" s="47"/>
    </row>
    <row r="3038" spans="4:4" x14ac:dyDescent="0.45">
      <c r="D3038" s="47"/>
    </row>
    <row r="3039" spans="4:4" x14ac:dyDescent="0.45">
      <c r="D3039" s="47"/>
    </row>
    <row r="3040" spans="4:4" x14ac:dyDescent="0.45">
      <c r="D3040" s="47"/>
    </row>
    <row r="3041" spans="4:4" x14ac:dyDescent="0.45">
      <c r="D3041" s="47"/>
    </row>
    <row r="3042" spans="4:4" x14ac:dyDescent="0.45">
      <c r="D3042" s="47"/>
    </row>
    <row r="3043" spans="4:4" x14ac:dyDescent="0.45">
      <c r="D3043" s="47"/>
    </row>
    <row r="3044" spans="4:4" x14ac:dyDescent="0.45">
      <c r="D3044" s="47"/>
    </row>
    <row r="3045" spans="4:4" x14ac:dyDescent="0.45">
      <c r="D3045" s="47"/>
    </row>
    <row r="3046" spans="4:4" x14ac:dyDescent="0.45">
      <c r="D3046" s="47"/>
    </row>
    <row r="3047" spans="4:4" x14ac:dyDescent="0.45">
      <c r="D3047" s="47"/>
    </row>
    <row r="3048" spans="4:4" x14ac:dyDescent="0.45">
      <c r="D3048" s="47"/>
    </row>
    <row r="3049" spans="4:4" x14ac:dyDescent="0.45">
      <c r="D3049" s="47"/>
    </row>
    <row r="3050" spans="4:4" x14ac:dyDescent="0.45">
      <c r="D3050" s="47"/>
    </row>
    <row r="3051" spans="4:4" x14ac:dyDescent="0.45">
      <c r="D3051" s="47"/>
    </row>
    <row r="3052" spans="4:4" x14ac:dyDescent="0.45">
      <c r="D3052" s="47"/>
    </row>
    <row r="3053" spans="4:4" x14ac:dyDescent="0.45">
      <c r="D3053" s="47"/>
    </row>
    <row r="3054" spans="4:4" x14ac:dyDescent="0.45">
      <c r="D3054" s="47"/>
    </row>
    <row r="3055" spans="4:4" x14ac:dyDescent="0.45">
      <c r="D3055" s="47"/>
    </row>
    <row r="3056" spans="4:4" x14ac:dyDescent="0.45">
      <c r="D3056" s="47"/>
    </row>
    <row r="3057" spans="4:4" x14ac:dyDescent="0.45">
      <c r="D3057" s="47"/>
    </row>
    <row r="3058" spans="4:4" x14ac:dyDescent="0.45">
      <c r="D3058" s="47"/>
    </row>
    <row r="3059" spans="4:4" x14ac:dyDescent="0.45">
      <c r="D3059" s="47"/>
    </row>
    <row r="3060" spans="4:4" x14ac:dyDescent="0.45">
      <c r="D3060" s="47"/>
    </row>
    <row r="3061" spans="4:4" x14ac:dyDescent="0.45">
      <c r="D3061" s="47"/>
    </row>
    <row r="3062" spans="4:4" x14ac:dyDescent="0.45">
      <c r="D3062" s="47"/>
    </row>
    <row r="3063" spans="4:4" x14ac:dyDescent="0.45">
      <c r="D3063" s="47"/>
    </row>
    <row r="3064" spans="4:4" x14ac:dyDescent="0.45">
      <c r="D3064" s="47"/>
    </row>
    <row r="3065" spans="4:4" x14ac:dyDescent="0.45">
      <c r="D3065" s="47"/>
    </row>
    <row r="3066" spans="4:4" x14ac:dyDescent="0.45">
      <c r="D3066" s="47"/>
    </row>
    <row r="3067" spans="4:4" x14ac:dyDescent="0.45">
      <c r="D3067" s="47"/>
    </row>
    <row r="3068" spans="4:4" x14ac:dyDescent="0.45">
      <c r="D3068" s="47"/>
    </row>
    <row r="3069" spans="4:4" x14ac:dyDescent="0.45">
      <c r="D3069" s="47"/>
    </row>
    <row r="3070" spans="4:4" x14ac:dyDescent="0.45">
      <c r="D3070" s="47"/>
    </row>
    <row r="3071" spans="4:4" x14ac:dyDescent="0.45">
      <c r="D3071" s="47"/>
    </row>
    <row r="3072" spans="4:4" x14ac:dyDescent="0.45">
      <c r="D3072" s="47"/>
    </row>
    <row r="3073" spans="4:4" x14ac:dyDescent="0.45">
      <c r="D3073" s="47"/>
    </row>
    <row r="3074" spans="4:4" x14ac:dyDescent="0.45">
      <c r="D3074" s="47"/>
    </row>
    <row r="3075" spans="4:4" x14ac:dyDescent="0.45">
      <c r="D3075" s="47"/>
    </row>
    <row r="3076" spans="4:4" x14ac:dyDescent="0.45">
      <c r="D3076" s="47"/>
    </row>
    <row r="3077" spans="4:4" x14ac:dyDescent="0.45">
      <c r="D3077" s="47"/>
    </row>
    <row r="3078" spans="4:4" x14ac:dyDescent="0.45">
      <c r="D3078" s="47"/>
    </row>
    <row r="3079" spans="4:4" x14ac:dyDescent="0.45">
      <c r="D3079" s="47"/>
    </row>
    <row r="3080" spans="4:4" x14ac:dyDescent="0.45">
      <c r="D3080" s="47"/>
    </row>
    <row r="3081" spans="4:4" x14ac:dyDescent="0.45">
      <c r="D3081" s="47"/>
    </row>
    <row r="3082" spans="4:4" x14ac:dyDescent="0.45">
      <c r="D3082" s="47"/>
    </row>
    <row r="3083" spans="4:4" x14ac:dyDescent="0.45">
      <c r="D3083" s="47"/>
    </row>
    <row r="3084" spans="4:4" x14ac:dyDescent="0.45">
      <c r="D3084" s="47"/>
    </row>
    <row r="3085" spans="4:4" x14ac:dyDescent="0.45">
      <c r="D3085" s="47"/>
    </row>
    <row r="3086" spans="4:4" x14ac:dyDescent="0.45">
      <c r="D3086" s="47"/>
    </row>
    <row r="3087" spans="4:4" x14ac:dyDescent="0.45">
      <c r="D3087" s="47"/>
    </row>
    <row r="3088" spans="4:4" x14ac:dyDescent="0.45">
      <c r="D3088" s="47"/>
    </row>
    <row r="3089" spans="4:4" x14ac:dyDescent="0.45">
      <c r="D3089" s="47"/>
    </row>
    <row r="3090" spans="4:4" x14ac:dyDescent="0.45">
      <c r="D3090" s="47"/>
    </row>
    <row r="3091" spans="4:4" x14ac:dyDescent="0.45">
      <c r="D3091" s="47"/>
    </row>
    <row r="3092" spans="4:4" x14ac:dyDescent="0.45">
      <c r="D3092" s="47"/>
    </row>
    <row r="3093" spans="4:4" x14ac:dyDescent="0.45">
      <c r="D3093" s="47"/>
    </row>
    <row r="3094" spans="4:4" x14ac:dyDescent="0.45">
      <c r="D3094" s="47"/>
    </row>
    <row r="3095" spans="4:4" x14ac:dyDescent="0.45">
      <c r="D3095" s="47"/>
    </row>
    <row r="3096" spans="4:4" x14ac:dyDescent="0.45">
      <c r="D3096" s="47"/>
    </row>
    <row r="3097" spans="4:4" x14ac:dyDescent="0.45">
      <c r="D3097" s="47"/>
    </row>
    <row r="3098" spans="4:4" x14ac:dyDescent="0.45">
      <c r="D3098" s="47"/>
    </row>
    <row r="3099" spans="4:4" x14ac:dyDescent="0.45">
      <c r="D3099" s="47"/>
    </row>
    <row r="3100" spans="4:4" x14ac:dyDescent="0.45">
      <c r="D3100" s="47"/>
    </row>
    <row r="3101" spans="4:4" x14ac:dyDescent="0.45">
      <c r="D3101" s="47"/>
    </row>
    <row r="3102" spans="4:4" x14ac:dyDescent="0.45">
      <c r="D3102" s="47"/>
    </row>
    <row r="3103" spans="4:4" x14ac:dyDescent="0.45">
      <c r="D3103" s="47"/>
    </row>
    <row r="3104" spans="4:4" x14ac:dyDescent="0.45">
      <c r="D3104" s="47"/>
    </row>
    <row r="3105" spans="4:4" x14ac:dyDescent="0.45">
      <c r="D3105" s="47"/>
    </row>
    <row r="3106" spans="4:4" x14ac:dyDescent="0.45">
      <c r="D3106" s="47"/>
    </row>
    <row r="3107" spans="4:4" x14ac:dyDescent="0.45">
      <c r="D3107" s="47"/>
    </row>
    <row r="3108" spans="4:4" x14ac:dyDescent="0.45">
      <c r="D3108" s="47"/>
    </row>
    <row r="3109" spans="4:4" x14ac:dyDescent="0.45">
      <c r="D3109" s="47"/>
    </row>
    <row r="3110" spans="4:4" x14ac:dyDescent="0.45">
      <c r="D3110" s="47"/>
    </row>
    <row r="3111" spans="4:4" x14ac:dyDescent="0.45">
      <c r="D3111" s="47"/>
    </row>
    <row r="3112" spans="4:4" x14ac:dyDescent="0.45">
      <c r="D3112" s="47"/>
    </row>
    <row r="3113" spans="4:4" x14ac:dyDescent="0.45">
      <c r="D3113" s="47"/>
    </row>
    <row r="3114" spans="4:4" x14ac:dyDescent="0.45">
      <c r="D3114" s="47"/>
    </row>
    <row r="3115" spans="4:4" x14ac:dyDescent="0.45">
      <c r="D3115" s="47"/>
    </row>
    <row r="3116" spans="4:4" x14ac:dyDescent="0.45">
      <c r="D3116" s="47"/>
    </row>
    <row r="3117" spans="4:4" x14ac:dyDescent="0.45">
      <c r="D3117" s="47"/>
    </row>
    <row r="3118" spans="4:4" x14ac:dyDescent="0.45">
      <c r="D3118" s="47"/>
    </row>
    <row r="3119" spans="4:4" x14ac:dyDescent="0.45">
      <c r="D3119" s="47"/>
    </row>
    <row r="3120" spans="4:4" x14ac:dyDescent="0.45">
      <c r="D3120" s="47"/>
    </row>
    <row r="3121" spans="4:4" x14ac:dyDescent="0.45">
      <c r="D3121" s="47"/>
    </row>
    <row r="3122" spans="4:4" x14ac:dyDescent="0.45">
      <c r="D3122" s="47"/>
    </row>
    <row r="3123" spans="4:4" x14ac:dyDescent="0.45">
      <c r="D3123" s="47"/>
    </row>
    <row r="3124" spans="4:4" x14ac:dyDescent="0.45">
      <c r="D3124" s="47"/>
    </row>
    <row r="3125" spans="4:4" x14ac:dyDescent="0.45">
      <c r="D3125" s="47"/>
    </row>
    <row r="3126" spans="4:4" x14ac:dyDescent="0.45">
      <c r="D3126" s="47"/>
    </row>
    <row r="3127" spans="4:4" x14ac:dyDescent="0.45">
      <c r="D3127" s="47"/>
    </row>
    <row r="3128" spans="4:4" x14ac:dyDescent="0.45">
      <c r="D3128" s="47"/>
    </row>
    <row r="3129" spans="4:4" x14ac:dyDescent="0.45">
      <c r="D3129" s="47"/>
    </row>
    <row r="3130" spans="4:4" x14ac:dyDescent="0.45">
      <c r="D3130" s="47"/>
    </row>
    <row r="3131" spans="4:4" x14ac:dyDescent="0.45">
      <c r="D3131" s="47"/>
    </row>
    <row r="3132" spans="4:4" x14ac:dyDescent="0.45">
      <c r="D3132" s="47"/>
    </row>
    <row r="3133" spans="4:4" x14ac:dyDescent="0.45">
      <c r="D3133" s="47"/>
    </row>
    <row r="3134" spans="4:4" x14ac:dyDescent="0.45">
      <c r="D3134" s="47"/>
    </row>
    <row r="3135" spans="4:4" x14ac:dyDescent="0.45">
      <c r="D3135" s="47"/>
    </row>
    <row r="3136" spans="4:4" x14ac:dyDescent="0.45">
      <c r="D3136" s="47"/>
    </row>
    <row r="3137" spans="4:4" x14ac:dyDescent="0.45">
      <c r="D3137" s="47"/>
    </row>
    <row r="3138" spans="4:4" x14ac:dyDescent="0.45">
      <c r="D3138" s="47"/>
    </row>
    <row r="3139" spans="4:4" x14ac:dyDescent="0.45">
      <c r="D3139" s="47"/>
    </row>
    <row r="3140" spans="4:4" x14ac:dyDescent="0.45">
      <c r="D3140" s="47"/>
    </row>
    <row r="3141" spans="4:4" x14ac:dyDescent="0.45">
      <c r="D3141" s="47"/>
    </row>
    <row r="3142" spans="4:4" x14ac:dyDescent="0.45">
      <c r="D3142" s="47"/>
    </row>
    <row r="3143" spans="4:4" x14ac:dyDescent="0.45">
      <c r="D3143" s="47"/>
    </row>
    <row r="3144" spans="4:4" x14ac:dyDescent="0.45">
      <c r="D3144" s="47"/>
    </row>
    <row r="3145" spans="4:4" x14ac:dyDescent="0.45">
      <c r="D3145" s="47"/>
    </row>
    <row r="3146" spans="4:4" x14ac:dyDescent="0.45">
      <c r="D3146" s="47"/>
    </row>
    <row r="3147" spans="4:4" x14ac:dyDescent="0.45">
      <c r="D3147" s="47"/>
    </row>
    <row r="3148" spans="4:4" x14ac:dyDescent="0.45">
      <c r="D3148" s="47"/>
    </row>
    <row r="3149" spans="4:4" x14ac:dyDescent="0.45">
      <c r="D3149" s="47"/>
    </row>
    <row r="3150" spans="4:4" x14ac:dyDescent="0.45">
      <c r="D3150" s="47"/>
    </row>
    <row r="3151" spans="4:4" x14ac:dyDescent="0.45">
      <c r="D3151" s="47"/>
    </row>
    <row r="3152" spans="4:4" x14ac:dyDescent="0.45">
      <c r="D3152" s="47"/>
    </row>
    <row r="3153" spans="4:4" x14ac:dyDescent="0.45">
      <c r="D3153" s="47"/>
    </row>
    <row r="3154" spans="4:4" x14ac:dyDescent="0.45">
      <c r="D3154" s="47"/>
    </row>
    <row r="3155" spans="4:4" x14ac:dyDescent="0.45">
      <c r="D3155" s="47"/>
    </row>
    <row r="3156" spans="4:4" x14ac:dyDescent="0.45">
      <c r="D3156" s="47"/>
    </row>
    <row r="3157" spans="4:4" x14ac:dyDescent="0.45">
      <c r="D3157" s="47"/>
    </row>
    <row r="3158" spans="4:4" x14ac:dyDescent="0.45">
      <c r="D3158" s="47"/>
    </row>
    <row r="3159" spans="4:4" x14ac:dyDescent="0.45">
      <c r="D3159" s="47"/>
    </row>
    <row r="3160" spans="4:4" x14ac:dyDescent="0.45">
      <c r="D3160" s="47"/>
    </row>
    <row r="3161" spans="4:4" x14ac:dyDescent="0.45">
      <c r="D3161" s="47"/>
    </row>
    <row r="3162" spans="4:4" x14ac:dyDescent="0.45">
      <c r="D3162" s="47"/>
    </row>
    <row r="3163" spans="4:4" x14ac:dyDescent="0.45">
      <c r="D3163" s="47"/>
    </row>
    <row r="3164" spans="4:4" x14ac:dyDescent="0.45">
      <c r="D3164" s="47"/>
    </row>
    <row r="3165" spans="4:4" x14ac:dyDescent="0.45">
      <c r="D3165" s="47"/>
    </row>
    <row r="3166" spans="4:4" x14ac:dyDescent="0.45">
      <c r="D3166" s="47"/>
    </row>
    <row r="3167" spans="4:4" x14ac:dyDescent="0.45">
      <c r="D3167" s="47"/>
    </row>
    <row r="3168" spans="4:4" x14ac:dyDescent="0.45">
      <c r="D3168" s="47"/>
    </row>
    <row r="3169" spans="4:4" x14ac:dyDescent="0.45">
      <c r="D3169" s="47"/>
    </row>
    <row r="3170" spans="4:4" x14ac:dyDescent="0.45">
      <c r="D3170" s="47"/>
    </row>
    <row r="3171" spans="4:4" x14ac:dyDescent="0.45">
      <c r="D3171" s="47"/>
    </row>
    <row r="3172" spans="4:4" x14ac:dyDescent="0.45">
      <c r="D3172" s="47"/>
    </row>
    <row r="3173" spans="4:4" x14ac:dyDescent="0.45">
      <c r="D3173" s="47"/>
    </row>
    <row r="3174" spans="4:4" x14ac:dyDescent="0.45">
      <c r="D3174" s="47"/>
    </row>
    <row r="3175" spans="4:4" x14ac:dyDescent="0.45">
      <c r="D3175" s="47"/>
    </row>
    <row r="3176" spans="4:4" x14ac:dyDescent="0.45">
      <c r="D3176" s="47"/>
    </row>
    <row r="3177" spans="4:4" x14ac:dyDescent="0.45">
      <c r="D3177" s="47"/>
    </row>
    <row r="3178" spans="4:4" x14ac:dyDescent="0.45">
      <c r="D3178" s="47"/>
    </row>
    <row r="3179" spans="4:4" x14ac:dyDescent="0.45">
      <c r="D3179" s="47"/>
    </row>
    <row r="3180" spans="4:4" x14ac:dyDescent="0.45">
      <c r="D3180" s="47"/>
    </row>
    <row r="3181" spans="4:4" x14ac:dyDescent="0.45">
      <c r="D3181" s="47"/>
    </row>
    <row r="3182" spans="4:4" x14ac:dyDescent="0.45">
      <c r="D3182" s="47"/>
    </row>
    <row r="3183" spans="4:4" x14ac:dyDescent="0.45">
      <c r="D3183" s="47"/>
    </row>
    <row r="3184" spans="4:4" x14ac:dyDescent="0.45">
      <c r="D3184" s="47"/>
    </row>
    <row r="3185" spans="4:4" x14ac:dyDescent="0.45">
      <c r="D3185" s="47"/>
    </row>
    <row r="3186" spans="4:4" x14ac:dyDescent="0.45">
      <c r="D3186" s="47"/>
    </row>
    <row r="3187" spans="4:4" x14ac:dyDescent="0.45">
      <c r="D3187" s="47"/>
    </row>
    <row r="3188" spans="4:4" x14ac:dyDescent="0.45">
      <c r="D3188" s="47"/>
    </row>
    <row r="3189" spans="4:4" x14ac:dyDescent="0.45">
      <c r="D3189" s="47"/>
    </row>
    <row r="3190" spans="4:4" x14ac:dyDescent="0.45">
      <c r="D3190" s="47"/>
    </row>
    <row r="3191" spans="4:4" x14ac:dyDescent="0.45">
      <c r="D3191" s="47"/>
    </row>
    <row r="3192" spans="4:4" x14ac:dyDescent="0.45">
      <c r="D3192" s="47"/>
    </row>
    <row r="3193" spans="4:4" x14ac:dyDescent="0.45">
      <c r="D3193" s="47"/>
    </row>
    <row r="3194" spans="4:4" x14ac:dyDescent="0.45">
      <c r="D3194" s="47"/>
    </row>
    <row r="3195" spans="4:4" x14ac:dyDescent="0.45">
      <c r="D3195" s="47"/>
    </row>
    <row r="3196" spans="4:4" x14ac:dyDescent="0.45">
      <c r="D3196" s="47"/>
    </row>
    <row r="3197" spans="4:4" x14ac:dyDescent="0.45">
      <c r="D3197" s="47"/>
    </row>
    <row r="3198" spans="4:4" x14ac:dyDescent="0.45">
      <c r="D3198" s="47"/>
    </row>
    <row r="3199" spans="4:4" x14ac:dyDescent="0.45">
      <c r="D3199" s="47"/>
    </row>
    <row r="3200" spans="4:4" x14ac:dyDescent="0.45">
      <c r="D3200" s="47"/>
    </row>
    <row r="3201" spans="4:4" x14ac:dyDescent="0.45">
      <c r="D3201" s="47"/>
    </row>
    <row r="3202" spans="4:4" x14ac:dyDescent="0.45">
      <c r="D3202" s="47"/>
    </row>
    <row r="3203" spans="4:4" x14ac:dyDescent="0.45">
      <c r="D3203" s="47"/>
    </row>
    <row r="3204" spans="4:4" x14ac:dyDescent="0.45">
      <c r="D3204" s="47"/>
    </row>
    <row r="3205" spans="4:4" x14ac:dyDescent="0.45">
      <c r="D3205" s="47"/>
    </row>
    <row r="3206" spans="4:4" x14ac:dyDescent="0.45">
      <c r="D3206" s="47"/>
    </row>
    <row r="3207" spans="4:4" x14ac:dyDescent="0.45">
      <c r="D3207" s="47"/>
    </row>
    <row r="3208" spans="4:4" x14ac:dyDescent="0.45">
      <c r="D3208" s="47"/>
    </row>
    <row r="3209" spans="4:4" x14ac:dyDescent="0.45">
      <c r="D3209" s="47"/>
    </row>
    <row r="3210" spans="4:4" x14ac:dyDescent="0.45">
      <c r="D3210" s="47"/>
    </row>
    <row r="3211" spans="4:4" x14ac:dyDescent="0.45">
      <c r="D3211" s="47"/>
    </row>
    <row r="3212" spans="4:4" x14ac:dyDescent="0.45">
      <c r="D3212" s="47"/>
    </row>
    <row r="3213" spans="4:4" x14ac:dyDescent="0.45">
      <c r="D3213" s="47"/>
    </row>
    <row r="3214" spans="4:4" x14ac:dyDescent="0.45">
      <c r="D3214" s="47"/>
    </row>
    <row r="3215" spans="4:4" x14ac:dyDescent="0.45">
      <c r="D3215" s="47"/>
    </row>
    <row r="3216" spans="4:4" x14ac:dyDescent="0.45">
      <c r="D3216" s="47"/>
    </row>
    <row r="3217" spans="4:4" x14ac:dyDescent="0.45">
      <c r="D3217" s="47"/>
    </row>
    <row r="3218" spans="4:4" x14ac:dyDescent="0.45">
      <c r="D3218" s="47"/>
    </row>
    <row r="3219" spans="4:4" x14ac:dyDescent="0.45">
      <c r="D3219" s="47"/>
    </row>
    <row r="3220" spans="4:4" x14ac:dyDescent="0.45">
      <c r="D3220" s="47"/>
    </row>
    <row r="3221" spans="4:4" x14ac:dyDescent="0.45">
      <c r="D3221" s="47"/>
    </row>
    <row r="3222" spans="4:4" x14ac:dyDescent="0.45">
      <c r="D3222" s="47"/>
    </row>
    <row r="3223" spans="4:4" x14ac:dyDescent="0.45">
      <c r="D3223" s="47"/>
    </row>
    <row r="3224" spans="4:4" x14ac:dyDescent="0.45">
      <c r="D3224" s="47"/>
    </row>
    <row r="3225" spans="4:4" x14ac:dyDescent="0.45">
      <c r="D3225" s="47"/>
    </row>
    <row r="3226" spans="4:4" x14ac:dyDescent="0.45">
      <c r="D3226" s="47"/>
    </row>
    <row r="3227" spans="4:4" x14ac:dyDescent="0.45">
      <c r="D3227" s="47"/>
    </row>
    <row r="3228" spans="4:4" x14ac:dyDescent="0.45">
      <c r="D3228" s="47"/>
    </row>
    <row r="3229" spans="4:4" x14ac:dyDescent="0.45">
      <c r="D3229" s="47"/>
    </row>
    <row r="3230" spans="4:4" x14ac:dyDescent="0.45">
      <c r="D3230" s="47"/>
    </row>
    <row r="3231" spans="4:4" x14ac:dyDescent="0.45">
      <c r="D3231" s="47"/>
    </row>
    <row r="3232" spans="4:4" x14ac:dyDescent="0.45">
      <c r="D3232" s="47"/>
    </row>
    <row r="3233" spans="4:4" x14ac:dyDescent="0.45">
      <c r="D3233" s="47"/>
    </row>
    <row r="3234" spans="4:4" x14ac:dyDescent="0.45">
      <c r="D3234" s="47"/>
    </row>
    <row r="3235" spans="4:4" x14ac:dyDescent="0.45">
      <c r="D3235" s="47"/>
    </row>
    <row r="3236" spans="4:4" x14ac:dyDescent="0.45">
      <c r="D3236" s="47"/>
    </row>
    <row r="3237" spans="4:4" x14ac:dyDescent="0.45">
      <c r="D3237" s="47"/>
    </row>
    <row r="3238" spans="4:4" x14ac:dyDescent="0.45">
      <c r="D3238" s="47"/>
    </row>
    <row r="3239" spans="4:4" x14ac:dyDescent="0.45">
      <c r="D3239" s="47"/>
    </row>
    <row r="3240" spans="4:4" x14ac:dyDescent="0.45">
      <c r="D3240" s="47"/>
    </row>
    <row r="3241" spans="4:4" x14ac:dyDescent="0.45">
      <c r="D3241" s="47"/>
    </row>
    <row r="3242" spans="4:4" x14ac:dyDescent="0.45">
      <c r="D3242" s="47"/>
    </row>
    <row r="3243" spans="4:4" x14ac:dyDescent="0.45">
      <c r="D3243" s="47"/>
    </row>
    <row r="3244" spans="4:4" x14ac:dyDescent="0.45">
      <c r="D3244" s="47"/>
    </row>
    <row r="3245" spans="4:4" x14ac:dyDescent="0.45">
      <c r="D3245" s="47"/>
    </row>
    <row r="3246" spans="4:4" x14ac:dyDescent="0.45">
      <c r="D3246" s="47"/>
    </row>
    <row r="3247" spans="4:4" x14ac:dyDescent="0.45">
      <c r="D3247" s="47"/>
    </row>
    <row r="3248" spans="4:4" x14ac:dyDescent="0.45">
      <c r="D3248" s="47"/>
    </row>
    <row r="3249" spans="4:4" x14ac:dyDescent="0.45">
      <c r="D3249" s="47"/>
    </row>
    <row r="3250" spans="4:4" x14ac:dyDescent="0.45">
      <c r="D3250" s="47"/>
    </row>
    <row r="3251" spans="4:4" x14ac:dyDescent="0.45">
      <c r="D3251" s="47"/>
    </row>
    <row r="3252" spans="4:4" x14ac:dyDescent="0.45">
      <c r="D3252" s="47"/>
    </row>
    <row r="3253" spans="4:4" x14ac:dyDescent="0.45">
      <c r="D3253" s="47"/>
    </row>
    <row r="3254" spans="4:4" x14ac:dyDescent="0.45">
      <c r="D3254" s="47"/>
    </row>
    <row r="3255" spans="4:4" x14ac:dyDescent="0.45">
      <c r="D3255" s="47"/>
    </row>
    <row r="3256" spans="4:4" x14ac:dyDescent="0.45">
      <c r="D3256" s="47"/>
    </row>
    <row r="3257" spans="4:4" x14ac:dyDescent="0.45">
      <c r="D3257" s="47"/>
    </row>
    <row r="3258" spans="4:4" x14ac:dyDescent="0.45">
      <c r="D3258" s="47"/>
    </row>
    <row r="3259" spans="4:4" x14ac:dyDescent="0.45">
      <c r="D3259" s="47"/>
    </row>
    <row r="3260" spans="4:4" x14ac:dyDescent="0.45">
      <c r="D3260" s="47"/>
    </row>
    <row r="3261" spans="4:4" x14ac:dyDescent="0.45">
      <c r="D3261" s="47"/>
    </row>
    <row r="3262" spans="4:4" x14ac:dyDescent="0.45">
      <c r="D3262" s="47"/>
    </row>
    <row r="3263" spans="4:4" x14ac:dyDescent="0.45">
      <c r="D3263" s="47"/>
    </row>
    <row r="3264" spans="4:4" x14ac:dyDescent="0.45">
      <c r="D3264" s="47"/>
    </row>
    <row r="3265" spans="4:4" x14ac:dyDescent="0.45">
      <c r="D3265" s="47"/>
    </row>
    <row r="3266" spans="4:4" x14ac:dyDescent="0.45">
      <c r="D3266" s="47"/>
    </row>
    <row r="3267" spans="4:4" x14ac:dyDescent="0.45">
      <c r="D3267" s="47"/>
    </row>
    <row r="3268" spans="4:4" x14ac:dyDescent="0.45">
      <c r="D3268" s="47"/>
    </row>
    <row r="3269" spans="4:4" x14ac:dyDescent="0.45">
      <c r="D3269" s="47"/>
    </row>
    <row r="3270" spans="4:4" x14ac:dyDescent="0.45">
      <c r="D3270" s="47"/>
    </row>
    <row r="3271" spans="4:4" x14ac:dyDescent="0.45">
      <c r="D3271" s="47"/>
    </row>
    <row r="3272" spans="4:4" x14ac:dyDescent="0.45">
      <c r="D3272" s="47"/>
    </row>
    <row r="3273" spans="4:4" x14ac:dyDescent="0.45">
      <c r="D3273" s="47"/>
    </row>
    <row r="3274" spans="4:4" x14ac:dyDescent="0.45">
      <c r="D3274" s="47"/>
    </row>
    <row r="3275" spans="4:4" x14ac:dyDescent="0.45">
      <c r="D3275" s="47"/>
    </row>
    <row r="3276" spans="4:4" x14ac:dyDescent="0.45">
      <c r="D3276" s="47"/>
    </row>
    <row r="3277" spans="4:4" x14ac:dyDescent="0.45">
      <c r="D3277" s="47"/>
    </row>
    <row r="3278" spans="4:4" x14ac:dyDescent="0.45">
      <c r="D3278" s="47"/>
    </row>
    <row r="3279" spans="4:4" x14ac:dyDescent="0.45">
      <c r="D3279" s="47"/>
    </row>
    <row r="3280" spans="4:4" x14ac:dyDescent="0.45">
      <c r="D3280" s="47"/>
    </row>
    <row r="3281" spans="4:4" x14ac:dyDescent="0.45">
      <c r="D3281" s="47"/>
    </row>
    <row r="3282" spans="4:4" x14ac:dyDescent="0.45">
      <c r="D3282" s="47"/>
    </row>
    <row r="3283" spans="4:4" x14ac:dyDescent="0.45">
      <c r="D3283" s="47"/>
    </row>
    <row r="3284" spans="4:4" x14ac:dyDescent="0.45">
      <c r="D3284" s="47"/>
    </row>
    <row r="3285" spans="4:4" x14ac:dyDescent="0.45">
      <c r="D3285" s="47"/>
    </row>
    <row r="3286" spans="4:4" x14ac:dyDescent="0.45">
      <c r="D3286" s="47"/>
    </row>
    <row r="3287" spans="4:4" x14ac:dyDescent="0.45">
      <c r="D3287" s="47"/>
    </row>
    <row r="3288" spans="4:4" x14ac:dyDescent="0.45">
      <c r="D3288" s="47"/>
    </row>
    <row r="3289" spans="4:4" x14ac:dyDescent="0.45">
      <c r="D3289" s="47"/>
    </row>
    <row r="3290" spans="4:4" x14ac:dyDescent="0.45">
      <c r="D3290" s="47"/>
    </row>
    <row r="3291" spans="4:4" x14ac:dyDescent="0.45">
      <c r="D3291" s="47"/>
    </row>
    <row r="3292" spans="4:4" x14ac:dyDescent="0.45">
      <c r="D3292" s="47"/>
    </row>
    <row r="3293" spans="4:4" x14ac:dyDescent="0.45">
      <c r="D3293" s="47"/>
    </row>
    <row r="3294" spans="4:4" x14ac:dyDescent="0.45">
      <c r="D3294" s="47"/>
    </row>
    <row r="3295" spans="4:4" x14ac:dyDescent="0.45">
      <c r="D3295" s="47"/>
    </row>
    <row r="3296" spans="4:4" x14ac:dyDescent="0.45">
      <c r="D3296" s="47"/>
    </row>
    <row r="3297" spans="4:4" x14ac:dyDescent="0.45">
      <c r="D3297" s="47"/>
    </row>
    <row r="3298" spans="4:4" x14ac:dyDescent="0.45">
      <c r="D3298" s="47"/>
    </row>
    <row r="3299" spans="4:4" x14ac:dyDescent="0.45">
      <c r="D3299" s="47"/>
    </row>
    <row r="3300" spans="4:4" x14ac:dyDescent="0.45">
      <c r="D3300" s="47"/>
    </row>
    <row r="3301" spans="4:4" x14ac:dyDescent="0.45">
      <c r="D3301" s="47"/>
    </row>
    <row r="3302" spans="4:4" x14ac:dyDescent="0.45">
      <c r="D3302" s="47"/>
    </row>
    <row r="3303" spans="4:4" x14ac:dyDescent="0.45">
      <c r="D3303" s="47"/>
    </row>
    <row r="3304" spans="4:4" x14ac:dyDescent="0.45">
      <c r="D3304" s="47"/>
    </row>
    <row r="3305" spans="4:4" x14ac:dyDescent="0.45">
      <c r="D3305" s="47"/>
    </row>
    <row r="3306" spans="4:4" x14ac:dyDescent="0.45">
      <c r="D3306" s="47"/>
    </row>
    <row r="3307" spans="4:4" x14ac:dyDescent="0.45">
      <c r="D3307" s="47"/>
    </row>
    <row r="3308" spans="4:4" x14ac:dyDescent="0.45">
      <c r="D3308" s="47"/>
    </row>
    <row r="3309" spans="4:4" x14ac:dyDescent="0.45">
      <c r="D3309" s="47"/>
    </row>
    <row r="3310" spans="4:4" x14ac:dyDescent="0.45">
      <c r="D3310" s="47"/>
    </row>
    <row r="3311" spans="4:4" x14ac:dyDescent="0.45">
      <c r="D3311" s="47"/>
    </row>
    <row r="3312" spans="4:4" x14ac:dyDescent="0.45">
      <c r="D3312" s="47"/>
    </row>
    <row r="3313" spans="4:4" x14ac:dyDescent="0.45">
      <c r="D3313" s="47"/>
    </row>
    <row r="3314" spans="4:4" x14ac:dyDescent="0.45">
      <c r="D3314" s="47"/>
    </row>
    <row r="3315" spans="4:4" x14ac:dyDescent="0.45">
      <c r="D3315" s="47"/>
    </row>
    <row r="3316" spans="4:4" x14ac:dyDescent="0.45">
      <c r="D3316" s="47"/>
    </row>
    <row r="3317" spans="4:4" x14ac:dyDescent="0.45">
      <c r="D3317" s="47"/>
    </row>
    <row r="3318" spans="4:4" x14ac:dyDescent="0.45">
      <c r="D3318" s="47"/>
    </row>
    <row r="3319" spans="4:4" x14ac:dyDescent="0.45">
      <c r="D3319" s="47"/>
    </row>
    <row r="3320" spans="4:4" x14ac:dyDescent="0.45">
      <c r="D3320" s="47"/>
    </row>
    <row r="3321" spans="4:4" x14ac:dyDescent="0.45">
      <c r="D3321" s="47"/>
    </row>
    <row r="3322" spans="4:4" x14ac:dyDescent="0.45">
      <c r="D3322" s="47"/>
    </row>
    <row r="3323" spans="4:4" x14ac:dyDescent="0.45">
      <c r="D3323" s="47"/>
    </row>
    <row r="3324" spans="4:4" x14ac:dyDescent="0.45">
      <c r="D3324" s="47"/>
    </row>
    <row r="3325" spans="4:4" x14ac:dyDescent="0.45">
      <c r="D3325" s="47"/>
    </row>
    <row r="3326" spans="4:4" x14ac:dyDescent="0.45">
      <c r="D3326" s="47"/>
    </row>
    <row r="3327" spans="4:4" x14ac:dyDescent="0.45">
      <c r="D3327" s="47"/>
    </row>
    <row r="3328" spans="4:4" x14ac:dyDescent="0.45">
      <c r="D3328" s="47"/>
    </row>
    <row r="3329" spans="4:4" x14ac:dyDescent="0.45">
      <c r="D3329" s="47"/>
    </row>
    <row r="3330" spans="4:4" x14ac:dyDescent="0.45">
      <c r="D3330" s="47"/>
    </row>
    <row r="3331" spans="4:4" x14ac:dyDescent="0.45">
      <c r="D3331" s="47"/>
    </row>
    <row r="3332" spans="4:4" x14ac:dyDescent="0.45">
      <c r="D3332" s="47"/>
    </row>
    <row r="3333" spans="4:4" x14ac:dyDescent="0.45">
      <c r="D3333" s="47"/>
    </row>
    <row r="3334" spans="4:4" x14ac:dyDescent="0.45">
      <c r="D3334" s="47"/>
    </row>
    <row r="3335" spans="4:4" x14ac:dyDescent="0.45">
      <c r="D3335" s="47"/>
    </row>
    <row r="3336" spans="4:4" x14ac:dyDescent="0.45">
      <c r="D3336" s="47"/>
    </row>
    <row r="3337" spans="4:4" x14ac:dyDescent="0.45">
      <c r="D3337" s="47"/>
    </row>
    <row r="3338" spans="4:4" x14ac:dyDescent="0.45">
      <c r="D3338" s="47"/>
    </row>
    <row r="3339" spans="4:4" x14ac:dyDescent="0.45">
      <c r="D3339" s="47"/>
    </row>
    <row r="3340" spans="4:4" x14ac:dyDescent="0.45">
      <c r="D3340" s="47"/>
    </row>
    <row r="3341" spans="4:4" x14ac:dyDescent="0.45">
      <c r="D3341" s="47"/>
    </row>
    <row r="3342" spans="4:4" x14ac:dyDescent="0.45">
      <c r="D3342" s="47"/>
    </row>
    <row r="3343" spans="4:4" x14ac:dyDescent="0.45">
      <c r="D3343" s="47"/>
    </row>
    <row r="3344" spans="4:4" x14ac:dyDescent="0.45">
      <c r="D3344" s="47"/>
    </row>
    <row r="3345" spans="4:4" x14ac:dyDescent="0.45">
      <c r="D3345" s="47"/>
    </row>
    <row r="3346" spans="4:4" x14ac:dyDescent="0.45">
      <c r="D3346" s="47"/>
    </row>
    <row r="3347" spans="4:4" x14ac:dyDescent="0.45">
      <c r="D3347" s="47"/>
    </row>
    <row r="3348" spans="4:4" x14ac:dyDescent="0.45">
      <c r="D3348" s="47"/>
    </row>
    <row r="3349" spans="4:4" x14ac:dyDescent="0.45">
      <c r="D3349" s="47"/>
    </row>
    <row r="3350" spans="4:4" x14ac:dyDescent="0.45">
      <c r="D3350" s="47"/>
    </row>
    <row r="3351" spans="4:4" x14ac:dyDescent="0.45">
      <c r="D3351" s="47"/>
    </row>
    <row r="3352" spans="4:4" x14ac:dyDescent="0.45">
      <c r="D3352" s="47"/>
    </row>
    <row r="3353" spans="4:4" x14ac:dyDescent="0.45">
      <c r="D3353" s="47"/>
    </row>
    <row r="3354" spans="4:4" x14ac:dyDescent="0.45">
      <c r="D3354" s="47"/>
    </row>
    <row r="3355" spans="4:4" x14ac:dyDescent="0.45">
      <c r="D3355" s="47"/>
    </row>
    <row r="3356" spans="4:4" x14ac:dyDescent="0.45">
      <c r="D3356" s="47"/>
    </row>
    <row r="3357" spans="4:4" x14ac:dyDescent="0.45">
      <c r="D3357" s="47"/>
    </row>
    <row r="3358" spans="4:4" x14ac:dyDescent="0.45">
      <c r="D3358" s="47"/>
    </row>
    <row r="3359" spans="4:4" x14ac:dyDescent="0.45">
      <c r="D3359" s="47"/>
    </row>
    <row r="3360" spans="4:4" x14ac:dyDescent="0.45">
      <c r="D3360" s="47"/>
    </row>
    <row r="3361" spans="4:4" x14ac:dyDescent="0.45">
      <c r="D3361" s="47"/>
    </row>
    <row r="3362" spans="4:4" x14ac:dyDescent="0.45">
      <c r="D3362" s="47"/>
    </row>
    <row r="3363" spans="4:4" x14ac:dyDescent="0.45">
      <c r="D3363" s="47"/>
    </row>
    <row r="3364" spans="4:4" x14ac:dyDescent="0.45">
      <c r="D3364" s="47"/>
    </row>
    <row r="3365" spans="4:4" x14ac:dyDescent="0.45">
      <c r="D3365" s="47"/>
    </row>
    <row r="3366" spans="4:4" x14ac:dyDescent="0.45">
      <c r="D3366" s="47"/>
    </row>
    <row r="3367" spans="4:4" x14ac:dyDescent="0.45">
      <c r="D3367" s="47"/>
    </row>
    <row r="3368" spans="4:4" x14ac:dyDescent="0.45">
      <c r="D3368" s="47"/>
    </row>
    <row r="3369" spans="4:4" x14ac:dyDescent="0.45">
      <c r="D3369" s="47"/>
    </row>
    <row r="3370" spans="4:4" x14ac:dyDescent="0.45">
      <c r="D3370" s="47"/>
    </row>
    <row r="3371" spans="4:4" x14ac:dyDescent="0.45">
      <c r="D3371" s="47"/>
    </row>
    <row r="3372" spans="4:4" x14ac:dyDescent="0.45">
      <c r="D3372" s="47"/>
    </row>
    <row r="3373" spans="4:4" x14ac:dyDescent="0.45">
      <c r="D3373" s="47"/>
    </row>
    <row r="3374" spans="4:4" x14ac:dyDescent="0.45">
      <c r="D3374" s="47"/>
    </row>
    <row r="3375" spans="4:4" x14ac:dyDescent="0.45">
      <c r="D3375" s="47"/>
    </row>
    <row r="3376" spans="4:4" x14ac:dyDescent="0.45">
      <c r="D3376" s="47"/>
    </row>
    <row r="3377" spans="4:4" x14ac:dyDescent="0.45">
      <c r="D3377" s="47"/>
    </row>
    <row r="3378" spans="4:4" x14ac:dyDescent="0.45">
      <c r="D3378" s="47"/>
    </row>
    <row r="3379" spans="4:4" x14ac:dyDescent="0.45">
      <c r="D3379" s="47"/>
    </row>
    <row r="3380" spans="4:4" x14ac:dyDescent="0.45">
      <c r="D3380" s="47"/>
    </row>
    <row r="3381" spans="4:4" x14ac:dyDescent="0.45">
      <c r="D3381" s="47"/>
    </row>
    <row r="3382" spans="4:4" x14ac:dyDescent="0.45">
      <c r="D3382" s="47"/>
    </row>
    <row r="3383" spans="4:4" x14ac:dyDescent="0.45">
      <c r="D3383" s="47"/>
    </row>
    <row r="3384" spans="4:4" x14ac:dyDescent="0.45">
      <c r="D3384" s="47"/>
    </row>
    <row r="3385" spans="4:4" x14ac:dyDescent="0.45">
      <c r="D3385" s="47"/>
    </row>
    <row r="3386" spans="4:4" x14ac:dyDescent="0.45">
      <c r="D3386" s="47"/>
    </row>
    <row r="3387" spans="4:4" x14ac:dyDescent="0.45">
      <c r="D3387" s="47"/>
    </row>
    <row r="3388" spans="4:4" x14ac:dyDescent="0.45">
      <c r="D3388" s="47"/>
    </row>
    <row r="3389" spans="4:4" x14ac:dyDescent="0.45">
      <c r="D3389" s="47"/>
    </row>
    <row r="3390" spans="4:4" x14ac:dyDescent="0.45">
      <c r="D3390" s="47"/>
    </row>
    <row r="3391" spans="4:4" x14ac:dyDescent="0.45">
      <c r="D3391" s="47"/>
    </row>
    <row r="3392" spans="4:4" x14ac:dyDescent="0.45">
      <c r="D3392" s="47"/>
    </row>
    <row r="3393" spans="4:4" x14ac:dyDescent="0.45">
      <c r="D3393" s="47"/>
    </row>
    <row r="3394" spans="4:4" x14ac:dyDescent="0.45">
      <c r="D3394" s="47"/>
    </row>
    <row r="3395" spans="4:4" x14ac:dyDescent="0.45">
      <c r="D3395" s="47"/>
    </row>
    <row r="3396" spans="4:4" x14ac:dyDescent="0.45">
      <c r="D3396" s="47"/>
    </row>
    <row r="3397" spans="4:4" x14ac:dyDescent="0.45">
      <c r="D3397" s="47"/>
    </row>
    <row r="3398" spans="4:4" x14ac:dyDescent="0.45">
      <c r="D3398" s="47"/>
    </row>
    <row r="3399" spans="4:4" x14ac:dyDescent="0.45">
      <c r="D3399" s="47"/>
    </row>
    <row r="3400" spans="4:4" x14ac:dyDescent="0.45">
      <c r="D3400" s="47"/>
    </row>
    <row r="3401" spans="4:4" x14ac:dyDescent="0.45">
      <c r="D3401" s="47"/>
    </row>
    <row r="3402" spans="4:4" x14ac:dyDescent="0.45">
      <c r="D3402" s="47"/>
    </row>
    <row r="3403" spans="4:4" x14ac:dyDescent="0.45">
      <c r="D3403" s="47"/>
    </row>
    <row r="3404" spans="4:4" x14ac:dyDescent="0.45">
      <c r="D3404" s="47"/>
    </row>
    <row r="3405" spans="4:4" x14ac:dyDescent="0.45">
      <c r="D3405" s="47"/>
    </row>
    <row r="3406" spans="4:4" x14ac:dyDescent="0.45">
      <c r="D3406" s="47"/>
    </row>
    <row r="3407" spans="4:4" x14ac:dyDescent="0.45">
      <c r="D3407" s="47"/>
    </row>
    <row r="3408" spans="4:4" x14ac:dyDescent="0.45">
      <c r="D3408" s="47"/>
    </row>
    <row r="3409" spans="4:4" x14ac:dyDescent="0.45">
      <c r="D3409" s="47"/>
    </row>
    <row r="3410" spans="4:4" x14ac:dyDescent="0.45">
      <c r="D3410" s="47"/>
    </row>
    <row r="3411" spans="4:4" x14ac:dyDescent="0.45">
      <c r="D3411" s="47"/>
    </row>
    <row r="3412" spans="4:4" x14ac:dyDescent="0.45">
      <c r="D3412" s="47"/>
    </row>
    <row r="3413" spans="4:4" x14ac:dyDescent="0.45">
      <c r="D3413" s="47"/>
    </row>
    <row r="3414" spans="4:4" x14ac:dyDescent="0.45">
      <c r="D3414" s="47"/>
    </row>
    <row r="3415" spans="4:4" x14ac:dyDescent="0.45">
      <c r="D3415" s="47"/>
    </row>
    <row r="3416" spans="4:4" x14ac:dyDescent="0.45">
      <c r="D3416" s="47"/>
    </row>
    <row r="3417" spans="4:4" x14ac:dyDescent="0.45">
      <c r="D3417" s="47"/>
    </row>
    <row r="3418" spans="4:4" x14ac:dyDescent="0.45">
      <c r="D3418" s="47"/>
    </row>
    <row r="3419" spans="4:4" x14ac:dyDescent="0.45">
      <c r="D3419" s="47"/>
    </row>
    <row r="3420" spans="4:4" x14ac:dyDescent="0.45">
      <c r="D3420" s="47"/>
    </row>
    <row r="3421" spans="4:4" x14ac:dyDescent="0.45">
      <c r="D3421" s="47"/>
    </row>
    <row r="3422" spans="4:4" x14ac:dyDescent="0.45">
      <c r="D3422" s="47"/>
    </row>
    <row r="3423" spans="4:4" x14ac:dyDescent="0.45">
      <c r="D3423" s="47"/>
    </row>
    <row r="3424" spans="4:4" x14ac:dyDescent="0.45">
      <c r="D3424" s="47"/>
    </row>
    <row r="3425" spans="4:4" x14ac:dyDescent="0.45">
      <c r="D3425" s="47"/>
    </row>
    <row r="3426" spans="4:4" x14ac:dyDescent="0.45">
      <c r="D3426" s="47"/>
    </row>
    <row r="3427" spans="4:4" x14ac:dyDescent="0.45">
      <c r="D3427" s="47"/>
    </row>
    <row r="3428" spans="4:4" x14ac:dyDescent="0.45">
      <c r="D3428" s="47"/>
    </row>
    <row r="3429" spans="4:4" x14ac:dyDescent="0.45">
      <c r="D3429" s="47"/>
    </row>
    <row r="3430" spans="4:4" x14ac:dyDescent="0.45">
      <c r="D3430" s="47"/>
    </row>
    <row r="3431" spans="4:4" x14ac:dyDescent="0.45">
      <c r="D3431" s="47"/>
    </row>
    <row r="3432" spans="4:4" x14ac:dyDescent="0.45">
      <c r="D3432" s="47"/>
    </row>
    <row r="3433" spans="4:4" x14ac:dyDescent="0.45">
      <c r="D3433" s="47"/>
    </row>
    <row r="3434" spans="4:4" x14ac:dyDescent="0.45">
      <c r="D3434" s="47"/>
    </row>
    <row r="3435" spans="4:4" x14ac:dyDescent="0.45">
      <c r="D3435" s="47"/>
    </row>
    <row r="3436" spans="4:4" x14ac:dyDescent="0.45">
      <c r="D3436" s="47"/>
    </row>
    <row r="3437" spans="4:4" x14ac:dyDescent="0.45">
      <c r="D3437" s="47"/>
    </row>
    <row r="3438" spans="4:4" x14ac:dyDescent="0.45">
      <c r="D3438" s="47"/>
    </row>
    <row r="3439" spans="4:4" x14ac:dyDescent="0.45">
      <c r="D3439" s="47"/>
    </row>
    <row r="3440" spans="4:4" x14ac:dyDescent="0.45">
      <c r="D3440" s="47"/>
    </row>
    <row r="3441" spans="4:4" x14ac:dyDescent="0.45">
      <c r="D3441" s="47"/>
    </row>
    <row r="3442" spans="4:4" x14ac:dyDescent="0.45">
      <c r="D3442" s="47"/>
    </row>
    <row r="3443" spans="4:4" x14ac:dyDescent="0.45">
      <c r="D3443" s="47"/>
    </row>
    <row r="3444" spans="4:4" x14ac:dyDescent="0.45">
      <c r="D3444" s="47"/>
    </row>
    <row r="3445" spans="4:4" x14ac:dyDescent="0.45">
      <c r="D3445" s="47"/>
    </row>
    <row r="3446" spans="4:4" x14ac:dyDescent="0.45">
      <c r="D3446" s="47"/>
    </row>
    <row r="3447" spans="4:4" x14ac:dyDescent="0.45">
      <c r="D3447" s="47"/>
    </row>
    <row r="3448" spans="4:4" x14ac:dyDescent="0.45">
      <c r="D3448" s="47"/>
    </row>
    <row r="3449" spans="4:4" x14ac:dyDescent="0.45">
      <c r="D3449" s="47"/>
    </row>
    <row r="3450" spans="4:4" x14ac:dyDescent="0.45">
      <c r="D3450" s="47"/>
    </row>
    <row r="3451" spans="4:4" x14ac:dyDescent="0.45">
      <c r="D3451" s="47"/>
    </row>
    <row r="3452" spans="4:4" x14ac:dyDescent="0.45">
      <c r="D3452" s="47"/>
    </row>
    <row r="3453" spans="4:4" x14ac:dyDescent="0.45">
      <c r="D3453" s="47"/>
    </row>
    <row r="3454" spans="4:4" x14ac:dyDescent="0.45">
      <c r="D3454" s="47"/>
    </row>
    <row r="3455" spans="4:4" x14ac:dyDescent="0.45">
      <c r="D3455" s="47"/>
    </row>
    <row r="3456" spans="4:4" x14ac:dyDescent="0.45">
      <c r="D3456" s="47"/>
    </row>
    <row r="3457" spans="4:4" x14ac:dyDescent="0.45">
      <c r="D3457" s="47"/>
    </row>
    <row r="3458" spans="4:4" x14ac:dyDescent="0.45">
      <c r="D3458" s="47"/>
    </row>
    <row r="3459" spans="4:4" x14ac:dyDescent="0.45">
      <c r="D3459" s="47"/>
    </row>
    <row r="3460" spans="4:4" x14ac:dyDescent="0.45">
      <c r="D3460" s="47"/>
    </row>
    <row r="3461" spans="4:4" x14ac:dyDescent="0.45">
      <c r="D3461" s="47"/>
    </row>
    <row r="3462" spans="4:4" x14ac:dyDescent="0.45">
      <c r="D3462" s="47"/>
    </row>
    <row r="3463" spans="4:4" x14ac:dyDescent="0.45">
      <c r="D3463" s="47"/>
    </row>
    <row r="3464" spans="4:4" x14ac:dyDescent="0.45">
      <c r="D3464" s="47"/>
    </row>
    <row r="3465" spans="4:4" x14ac:dyDescent="0.45">
      <c r="D3465" s="47"/>
    </row>
    <row r="3466" spans="4:4" x14ac:dyDescent="0.45">
      <c r="D3466" s="47"/>
    </row>
    <row r="3467" spans="4:4" x14ac:dyDescent="0.45">
      <c r="D3467" s="47"/>
    </row>
    <row r="3468" spans="4:4" x14ac:dyDescent="0.45">
      <c r="D3468" s="47"/>
    </row>
    <row r="3469" spans="4:4" x14ac:dyDescent="0.45">
      <c r="D3469" s="47"/>
    </row>
    <row r="3470" spans="4:4" x14ac:dyDescent="0.45">
      <c r="D3470" s="47"/>
    </row>
    <row r="3471" spans="4:4" x14ac:dyDescent="0.45">
      <c r="D3471" s="47"/>
    </row>
    <row r="3472" spans="4:4" x14ac:dyDescent="0.45">
      <c r="D3472" s="47"/>
    </row>
    <row r="3473" spans="4:4" x14ac:dyDescent="0.45">
      <c r="D3473" s="47"/>
    </row>
    <row r="3474" spans="4:4" x14ac:dyDescent="0.45">
      <c r="D3474" s="47"/>
    </row>
    <row r="3475" spans="4:4" x14ac:dyDescent="0.45">
      <c r="D3475" s="47"/>
    </row>
    <row r="3476" spans="4:4" x14ac:dyDescent="0.45">
      <c r="D3476" s="47"/>
    </row>
    <row r="3477" spans="4:4" x14ac:dyDescent="0.45">
      <c r="D3477" s="47"/>
    </row>
    <row r="3478" spans="4:4" x14ac:dyDescent="0.45">
      <c r="D3478" s="47"/>
    </row>
    <row r="3479" spans="4:4" x14ac:dyDescent="0.45">
      <c r="D3479" s="47"/>
    </row>
    <row r="3480" spans="4:4" x14ac:dyDescent="0.45">
      <c r="D3480" s="47"/>
    </row>
    <row r="3481" spans="4:4" x14ac:dyDescent="0.45">
      <c r="D3481" s="47"/>
    </row>
    <row r="3482" spans="4:4" x14ac:dyDescent="0.45">
      <c r="D3482" s="47"/>
    </row>
    <row r="3483" spans="4:4" x14ac:dyDescent="0.45">
      <c r="D3483" s="47"/>
    </row>
    <row r="3484" spans="4:4" x14ac:dyDescent="0.45">
      <c r="D3484" s="47"/>
    </row>
    <row r="3485" spans="4:4" x14ac:dyDescent="0.45">
      <c r="D3485" s="47"/>
    </row>
    <row r="3486" spans="4:4" x14ac:dyDescent="0.45">
      <c r="D3486" s="47"/>
    </row>
    <row r="3487" spans="4:4" x14ac:dyDescent="0.45">
      <c r="D3487" s="47"/>
    </row>
    <row r="3488" spans="4:4" x14ac:dyDescent="0.45">
      <c r="D3488" s="47"/>
    </row>
    <row r="3489" spans="4:4" x14ac:dyDescent="0.45">
      <c r="D3489" s="47"/>
    </row>
    <row r="3490" spans="4:4" x14ac:dyDescent="0.45">
      <c r="D3490" s="47"/>
    </row>
    <row r="3491" spans="4:4" x14ac:dyDescent="0.45">
      <c r="D3491" s="47"/>
    </row>
    <row r="3492" spans="4:4" x14ac:dyDescent="0.45">
      <c r="D3492" s="47"/>
    </row>
    <row r="3493" spans="4:4" x14ac:dyDescent="0.45">
      <c r="D3493" s="47"/>
    </row>
    <row r="3494" spans="4:4" x14ac:dyDescent="0.45">
      <c r="D3494" s="47"/>
    </row>
    <row r="3495" spans="4:4" x14ac:dyDescent="0.45">
      <c r="D3495" s="47"/>
    </row>
    <row r="3496" spans="4:4" x14ac:dyDescent="0.45">
      <c r="D3496" s="47"/>
    </row>
    <row r="3497" spans="4:4" x14ac:dyDescent="0.45">
      <c r="D3497" s="47"/>
    </row>
    <row r="3498" spans="4:4" x14ac:dyDescent="0.45">
      <c r="D3498" s="47"/>
    </row>
    <row r="3499" spans="4:4" x14ac:dyDescent="0.45">
      <c r="D3499" s="47"/>
    </row>
    <row r="3500" spans="4:4" x14ac:dyDescent="0.45">
      <c r="D3500" s="47"/>
    </row>
    <row r="3501" spans="4:4" x14ac:dyDescent="0.45">
      <c r="D3501" s="47"/>
    </row>
    <row r="3502" spans="4:4" x14ac:dyDescent="0.45">
      <c r="D3502" s="47"/>
    </row>
    <row r="3503" spans="4:4" x14ac:dyDescent="0.45">
      <c r="D3503" s="47"/>
    </row>
    <row r="3504" spans="4:4" x14ac:dyDescent="0.45">
      <c r="D3504" s="47"/>
    </row>
    <row r="3505" spans="4:4" x14ac:dyDescent="0.45">
      <c r="D3505" s="47"/>
    </row>
    <row r="3506" spans="4:4" x14ac:dyDescent="0.45">
      <c r="D3506" s="47"/>
    </row>
    <row r="3507" spans="4:4" x14ac:dyDescent="0.45">
      <c r="D3507" s="47"/>
    </row>
    <row r="3508" spans="4:4" x14ac:dyDescent="0.45">
      <c r="D3508" s="47"/>
    </row>
    <row r="3509" spans="4:4" x14ac:dyDescent="0.45">
      <c r="D3509" s="47"/>
    </row>
    <row r="3510" spans="4:4" x14ac:dyDescent="0.45">
      <c r="D3510" s="47"/>
    </row>
    <row r="3511" spans="4:4" x14ac:dyDescent="0.45">
      <c r="D3511" s="47"/>
    </row>
    <row r="3512" spans="4:4" x14ac:dyDescent="0.45">
      <c r="D3512" s="47"/>
    </row>
    <row r="3513" spans="4:4" x14ac:dyDescent="0.45">
      <c r="D3513" s="47"/>
    </row>
    <row r="3514" spans="4:4" x14ac:dyDescent="0.45">
      <c r="D3514" s="47"/>
    </row>
    <row r="3515" spans="4:4" x14ac:dyDescent="0.45">
      <c r="D3515" s="47"/>
    </row>
    <row r="3516" spans="4:4" x14ac:dyDescent="0.45">
      <c r="D3516" s="47"/>
    </row>
    <row r="3517" spans="4:4" x14ac:dyDescent="0.45">
      <c r="D3517" s="47"/>
    </row>
    <row r="3518" spans="4:4" x14ac:dyDescent="0.45">
      <c r="D3518" s="47"/>
    </row>
    <row r="3519" spans="4:4" x14ac:dyDescent="0.45">
      <c r="D3519" s="47"/>
    </row>
    <row r="3520" spans="4:4" x14ac:dyDescent="0.45">
      <c r="D3520" s="47"/>
    </row>
    <row r="3521" spans="4:4" x14ac:dyDescent="0.45">
      <c r="D3521" s="47"/>
    </row>
    <row r="3522" spans="4:4" x14ac:dyDescent="0.45">
      <c r="D3522" s="47"/>
    </row>
    <row r="3523" spans="4:4" x14ac:dyDescent="0.45">
      <c r="D3523" s="47"/>
    </row>
    <row r="3524" spans="4:4" x14ac:dyDescent="0.45">
      <c r="D3524" s="47"/>
    </row>
    <row r="3525" spans="4:4" x14ac:dyDescent="0.45">
      <c r="D3525" s="47"/>
    </row>
    <row r="3526" spans="4:4" x14ac:dyDescent="0.45">
      <c r="D3526" s="47"/>
    </row>
    <row r="3527" spans="4:4" x14ac:dyDescent="0.45">
      <c r="D3527" s="47"/>
    </row>
    <row r="3528" spans="4:4" x14ac:dyDescent="0.45">
      <c r="D3528" s="47"/>
    </row>
    <row r="3529" spans="4:4" x14ac:dyDescent="0.45">
      <c r="D3529" s="47"/>
    </row>
    <row r="3530" spans="4:4" x14ac:dyDescent="0.45">
      <c r="D3530" s="47"/>
    </row>
    <row r="3531" spans="4:4" x14ac:dyDescent="0.45">
      <c r="D3531" s="47"/>
    </row>
    <row r="3532" spans="4:4" x14ac:dyDescent="0.45">
      <c r="D3532" s="47"/>
    </row>
    <row r="3533" spans="4:4" x14ac:dyDescent="0.45">
      <c r="D3533" s="47"/>
    </row>
    <row r="3534" spans="4:4" x14ac:dyDescent="0.45">
      <c r="D3534" s="47"/>
    </row>
    <row r="3535" spans="4:4" x14ac:dyDescent="0.45">
      <c r="D3535" s="47"/>
    </row>
    <row r="3536" spans="4:4" x14ac:dyDescent="0.45">
      <c r="D3536" s="47"/>
    </row>
    <row r="3537" spans="4:4" x14ac:dyDescent="0.45">
      <c r="D3537" s="47"/>
    </row>
    <row r="3538" spans="4:4" x14ac:dyDescent="0.45">
      <c r="D3538" s="47"/>
    </row>
    <row r="3539" spans="4:4" x14ac:dyDescent="0.45">
      <c r="D3539" s="47"/>
    </row>
    <row r="3540" spans="4:4" x14ac:dyDescent="0.45">
      <c r="D3540" s="47"/>
    </row>
    <row r="3541" spans="4:4" x14ac:dyDescent="0.45">
      <c r="D3541" s="47"/>
    </row>
    <row r="3542" spans="4:4" x14ac:dyDescent="0.45">
      <c r="D3542" s="47"/>
    </row>
    <row r="3543" spans="4:4" x14ac:dyDescent="0.45">
      <c r="D3543" s="47"/>
    </row>
    <row r="3544" spans="4:4" x14ac:dyDescent="0.45">
      <c r="D3544" s="47"/>
    </row>
    <row r="3545" spans="4:4" x14ac:dyDescent="0.45">
      <c r="D3545" s="47"/>
    </row>
    <row r="3546" spans="4:4" x14ac:dyDescent="0.45">
      <c r="D3546" s="47"/>
    </row>
    <row r="3547" spans="4:4" x14ac:dyDescent="0.45">
      <c r="D3547" s="47"/>
    </row>
    <row r="3548" spans="4:4" x14ac:dyDescent="0.45">
      <c r="D3548" s="47"/>
    </row>
    <row r="3549" spans="4:4" x14ac:dyDescent="0.45">
      <c r="D3549" s="47"/>
    </row>
    <row r="3550" spans="4:4" x14ac:dyDescent="0.45">
      <c r="D3550" s="47"/>
    </row>
    <row r="3551" spans="4:4" x14ac:dyDescent="0.45">
      <c r="D3551" s="47"/>
    </row>
    <row r="3552" spans="4:4" x14ac:dyDescent="0.45">
      <c r="D3552" s="47"/>
    </row>
    <row r="3553" spans="4:4" x14ac:dyDescent="0.45">
      <c r="D3553" s="47"/>
    </row>
    <row r="3554" spans="4:4" x14ac:dyDescent="0.45">
      <c r="D3554" s="47"/>
    </row>
    <row r="3555" spans="4:4" x14ac:dyDescent="0.45">
      <c r="D3555" s="47"/>
    </row>
    <row r="3556" spans="4:4" x14ac:dyDescent="0.45">
      <c r="D3556" s="47"/>
    </row>
    <row r="3557" spans="4:4" x14ac:dyDescent="0.45">
      <c r="D3557" s="47"/>
    </row>
    <row r="3558" spans="4:4" x14ac:dyDescent="0.45">
      <c r="D3558" s="47"/>
    </row>
    <row r="3559" spans="4:4" x14ac:dyDescent="0.45">
      <c r="D3559" s="47"/>
    </row>
    <row r="3560" spans="4:4" x14ac:dyDescent="0.45">
      <c r="D3560" s="47"/>
    </row>
    <row r="3561" spans="4:4" x14ac:dyDescent="0.45">
      <c r="D3561" s="47"/>
    </row>
    <row r="3562" spans="4:4" x14ac:dyDescent="0.45">
      <c r="D3562" s="47"/>
    </row>
    <row r="3563" spans="4:4" x14ac:dyDescent="0.45">
      <c r="D3563" s="47"/>
    </row>
    <row r="3564" spans="4:4" x14ac:dyDescent="0.45">
      <c r="D3564" s="47"/>
    </row>
    <row r="3565" spans="4:4" x14ac:dyDescent="0.45">
      <c r="D3565" s="47"/>
    </row>
    <row r="3566" spans="4:4" x14ac:dyDescent="0.45">
      <c r="D3566" s="47"/>
    </row>
    <row r="3567" spans="4:4" x14ac:dyDescent="0.45">
      <c r="D3567" s="47"/>
    </row>
    <row r="3568" spans="4:4" x14ac:dyDescent="0.45">
      <c r="D3568" s="47"/>
    </row>
    <row r="3569" spans="4:4" x14ac:dyDescent="0.45">
      <c r="D3569" s="47"/>
    </row>
    <row r="3570" spans="4:4" x14ac:dyDescent="0.45">
      <c r="D3570" s="47"/>
    </row>
    <row r="3571" spans="4:4" x14ac:dyDescent="0.45">
      <c r="D3571" s="47"/>
    </row>
    <row r="3572" spans="4:4" x14ac:dyDescent="0.45">
      <c r="D3572" s="47"/>
    </row>
    <row r="3573" spans="4:4" x14ac:dyDescent="0.45">
      <c r="D3573" s="47"/>
    </row>
    <row r="3574" spans="4:4" x14ac:dyDescent="0.45">
      <c r="D3574" s="47"/>
    </row>
    <row r="3575" spans="4:4" x14ac:dyDescent="0.45">
      <c r="D3575" s="47"/>
    </row>
    <row r="3576" spans="4:4" x14ac:dyDescent="0.45">
      <c r="D3576" s="47"/>
    </row>
    <row r="3577" spans="4:4" x14ac:dyDescent="0.45">
      <c r="D3577" s="47"/>
    </row>
    <row r="3578" spans="4:4" x14ac:dyDescent="0.45">
      <c r="D3578" s="47"/>
    </row>
    <row r="3579" spans="4:4" x14ac:dyDescent="0.45">
      <c r="D3579" s="47"/>
    </row>
    <row r="3580" spans="4:4" x14ac:dyDescent="0.45">
      <c r="D3580" s="47"/>
    </row>
    <row r="3581" spans="4:4" x14ac:dyDescent="0.45">
      <c r="D3581" s="47"/>
    </row>
    <row r="3582" spans="4:4" x14ac:dyDescent="0.45">
      <c r="D3582" s="47"/>
    </row>
    <row r="3583" spans="4:4" x14ac:dyDescent="0.45">
      <c r="D3583" s="47"/>
    </row>
    <row r="3584" spans="4:4" x14ac:dyDescent="0.45">
      <c r="D3584" s="47"/>
    </row>
    <row r="3585" spans="4:4" x14ac:dyDescent="0.45">
      <c r="D3585" s="47"/>
    </row>
    <row r="3586" spans="4:4" x14ac:dyDescent="0.45">
      <c r="D3586" s="47"/>
    </row>
    <row r="3587" spans="4:4" x14ac:dyDescent="0.45">
      <c r="D3587" s="47"/>
    </row>
    <row r="3588" spans="4:4" x14ac:dyDescent="0.45">
      <c r="D3588" s="47"/>
    </row>
    <row r="3589" spans="4:4" x14ac:dyDescent="0.45">
      <c r="D3589" s="47"/>
    </row>
    <row r="3590" spans="4:4" x14ac:dyDescent="0.45">
      <c r="D3590" s="47"/>
    </row>
    <row r="3591" spans="4:4" x14ac:dyDescent="0.45">
      <c r="D3591" s="47"/>
    </row>
    <row r="3592" spans="4:4" x14ac:dyDescent="0.45">
      <c r="D3592" s="47"/>
    </row>
    <row r="3593" spans="4:4" x14ac:dyDescent="0.45">
      <c r="D3593" s="47"/>
    </row>
    <row r="3594" spans="4:4" x14ac:dyDescent="0.45">
      <c r="D3594" s="47"/>
    </row>
    <row r="3595" spans="4:4" x14ac:dyDescent="0.45">
      <c r="D3595" s="47"/>
    </row>
    <row r="3596" spans="4:4" x14ac:dyDescent="0.45">
      <c r="D3596" s="47"/>
    </row>
    <row r="3597" spans="4:4" x14ac:dyDescent="0.45">
      <c r="D3597" s="47"/>
    </row>
    <row r="3598" spans="4:4" x14ac:dyDescent="0.45">
      <c r="D3598" s="47"/>
    </row>
    <row r="3599" spans="4:4" x14ac:dyDescent="0.45">
      <c r="D3599" s="47"/>
    </row>
    <row r="3600" spans="4:4" x14ac:dyDescent="0.45">
      <c r="D3600" s="47"/>
    </row>
    <row r="3601" spans="4:4" x14ac:dyDescent="0.45">
      <c r="D3601" s="47"/>
    </row>
    <row r="3602" spans="4:4" x14ac:dyDescent="0.45">
      <c r="D3602" s="47"/>
    </row>
    <row r="3603" spans="4:4" x14ac:dyDescent="0.45">
      <c r="D3603" s="47"/>
    </row>
    <row r="3604" spans="4:4" x14ac:dyDescent="0.45">
      <c r="D3604" s="47"/>
    </row>
    <row r="3605" spans="4:4" x14ac:dyDescent="0.45">
      <c r="D3605" s="47"/>
    </row>
    <row r="3606" spans="4:4" x14ac:dyDescent="0.45">
      <c r="D3606" s="47"/>
    </row>
    <row r="3607" spans="4:4" x14ac:dyDescent="0.45">
      <c r="D3607" s="47"/>
    </row>
    <row r="3608" spans="4:4" x14ac:dyDescent="0.45">
      <c r="D3608" s="47"/>
    </row>
    <row r="3609" spans="4:4" x14ac:dyDescent="0.45">
      <c r="D3609" s="47"/>
    </row>
    <row r="3610" spans="4:4" x14ac:dyDescent="0.45">
      <c r="D3610" s="47"/>
    </row>
    <row r="3611" spans="4:4" x14ac:dyDescent="0.45">
      <c r="D3611" s="47"/>
    </row>
    <row r="3612" spans="4:4" x14ac:dyDescent="0.45">
      <c r="D3612" s="47"/>
    </row>
    <row r="3613" spans="4:4" x14ac:dyDescent="0.45">
      <c r="D3613" s="47"/>
    </row>
    <row r="3614" spans="4:4" x14ac:dyDescent="0.45">
      <c r="D3614" s="47"/>
    </row>
    <row r="3615" spans="4:4" x14ac:dyDescent="0.45">
      <c r="D3615" s="47"/>
    </row>
    <row r="3616" spans="4:4" x14ac:dyDescent="0.45">
      <c r="D3616" s="47"/>
    </row>
    <row r="3617" spans="4:4" x14ac:dyDescent="0.45">
      <c r="D3617" s="47"/>
    </row>
    <row r="3618" spans="4:4" x14ac:dyDescent="0.45">
      <c r="D3618" s="47"/>
    </row>
    <row r="3619" spans="4:4" x14ac:dyDescent="0.45">
      <c r="D3619" s="47"/>
    </row>
    <row r="3620" spans="4:4" x14ac:dyDescent="0.45">
      <c r="D3620" s="47"/>
    </row>
    <row r="3621" spans="4:4" x14ac:dyDescent="0.45">
      <c r="D3621" s="47"/>
    </row>
    <row r="3622" spans="4:4" x14ac:dyDescent="0.45">
      <c r="D3622" s="47"/>
    </row>
    <row r="3623" spans="4:4" x14ac:dyDescent="0.45">
      <c r="D3623" s="47"/>
    </row>
    <row r="3624" spans="4:4" x14ac:dyDescent="0.45">
      <c r="D3624" s="47"/>
    </row>
    <row r="3625" spans="4:4" x14ac:dyDescent="0.45">
      <c r="D3625" s="47"/>
    </row>
    <row r="3626" spans="4:4" x14ac:dyDescent="0.45">
      <c r="D3626" s="47"/>
    </row>
    <row r="3627" spans="4:4" x14ac:dyDescent="0.45">
      <c r="D3627" s="47"/>
    </row>
    <row r="3628" spans="4:4" x14ac:dyDescent="0.45">
      <c r="D3628" s="47"/>
    </row>
    <row r="3629" spans="4:4" x14ac:dyDescent="0.45">
      <c r="D3629" s="47"/>
    </row>
    <row r="3630" spans="4:4" x14ac:dyDescent="0.45">
      <c r="D3630" s="47"/>
    </row>
    <row r="3631" spans="4:4" x14ac:dyDescent="0.45">
      <c r="D3631" s="47"/>
    </row>
    <row r="3632" spans="4:4" x14ac:dyDescent="0.45">
      <c r="D3632" s="47"/>
    </row>
    <row r="3633" spans="4:4" x14ac:dyDescent="0.45">
      <c r="D3633" s="47"/>
    </row>
    <row r="3634" spans="4:4" x14ac:dyDescent="0.45">
      <c r="D3634" s="47"/>
    </row>
    <row r="3635" spans="4:4" x14ac:dyDescent="0.45">
      <c r="D3635" s="47"/>
    </row>
    <row r="3636" spans="4:4" x14ac:dyDescent="0.45">
      <c r="D3636" s="47"/>
    </row>
    <row r="3637" spans="4:4" x14ac:dyDescent="0.45">
      <c r="D3637" s="47"/>
    </row>
    <row r="3638" spans="4:4" x14ac:dyDescent="0.45">
      <c r="D3638" s="47"/>
    </row>
    <row r="3639" spans="4:4" x14ac:dyDescent="0.45">
      <c r="D3639" s="47"/>
    </row>
    <row r="3640" spans="4:4" x14ac:dyDescent="0.45">
      <c r="D3640" s="47"/>
    </row>
    <row r="3641" spans="4:4" x14ac:dyDescent="0.45">
      <c r="D3641" s="47"/>
    </row>
    <row r="3642" spans="4:4" x14ac:dyDescent="0.45">
      <c r="D3642" s="47"/>
    </row>
    <row r="3643" spans="4:4" x14ac:dyDescent="0.45">
      <c r="D3643" s="47"/>
    </row>
    <row r="3644" spans="4:4" x14ac:dyDescent="0.45">
      <c r="D3644" s="47"/>
    </row>
    <row r="3645" spans="4:4" x14ac:dyDescent="0.45">
      <c r="D3645" s="47"/>
    </row>
    <row r="3646" spans="4:4" x14ac:dyDescent="0.45">
      <c r="D3646" s="47"/>
    </row>
    <row r="3647" spans="4:4" x14ac:dyDescent="0.45">
      <c r="D3647" s="47"/>
    </row>
    <row r="3648" spans="4:4" x14ac:dyDescent="0.45">
      <c r="D3648" s="47"/>
    </row>
    <row r="3649" spans="4:4" x14ac:dyDescent="0.45">
      <c r="D3649" s="47"/>
    </row>
    <row r="3650" spans="4:4" x14ac:dyDescent="0.45">
      <c r="D3650" s="47"/>
    </row>
    <row r="3651" spans="4:4" x14ac:dyDescent="0.45">
      <c r="D3651" s="47"/>
    </row>
    <row r="3652" spans="4:4" x14ac:dyDescent="0.45">
      <c r="D3652" s="47"/>
    </row>
    <row r="3653" spans="4:4" x14ac:dyDescent="0.45">
      <c r="D3653" s="47"/>
    </row>
    <row r="3654" spans="4:4" x14ac:dyDescent="0.45">
      <c r="D3654" s="47"/>
    </row>
    <row r="3655" spans="4:4" x14ac:dyDescent="0.45">
      <c r="D3655" s="47"/>
    </row>
    <row r="3656" spans="4:4" x14ac:dyDescent="0.45">
      <c r="D3656" s="47"/>
    </row>
    <row r="3657" spans="4:4" x14ac:dyDescent="0.45">
      <c r="D3657" s="47"/>
    </row>
    <row r="3658" spans="4:4" x14ac:dyDescent="0.45">
      <c r="D3658" s="47"/>
    </row>
    <row r="3659" spans="4:4" x14ac:dyDescent="0.45">
      <c r="D3659" s="47"/>
    </row>
    <row r="3660" spans="4:4" x14ac:dyDescent="0.45">
      <c r="D3660" s="47"/>
    </row>
    <row r="3661" spans="4:4" x14ac:dyDescent="0.45">
      <c r="D3661" s="47"/>
    </row>
    <row r="3662" spans="4:4" x14ac:dyDescent="0.45">
      <c r="D3662" s="47"/>
    </row>
    <row r="3663" spans="4:4" x14ac:dyDescent="0.45">
      <c r="D3663" s="47"/>
    </row>
    <row r="3664" spans="4:4" x14ac:dyDescent="0.45">
      <c r="D3664" s="47"/>
    </row>
    <row r="3665" spans="4:4" x14ac:dyDescent="0.45">
      <c r="D3665" s="47"/>
    </row>
    <row r="3666" spans="4:4" x14ac:dyDescent="0.45">
      <c r="D3666" s="47"/>
    </row>
    <row r="3667" spans="4:4" x14ac:dyDescent="0.45">
      <c r="D3667" s="47"/>
    </row>
    <row r="3668" spans="4:4" x14ac:dyDescent="0.45">
      <c r="D3668" s="47"/>
    </row>
    <row r="3669" spans="4:4" x14ac:dyDescent="0.45">
      <c r="D3669" s="47"/>
    </row>
    <row r="3670" spans="4:4" x14ac:dyDescent="0.45">
      <c r="D3670" s="47"/>
    </row>
    <row r="3671" spans="4:4" x14ac:dyDescent="0.45">
      <c r="D3671" s="47"/>
    </row>
    <row r="3672" spans="4:4" x14ac:dyDescent="0.45">
      <c r="D3672" s="47"/>
    </row>
    <row r="3673" spans="4:4" x14ac:dyDescent="0.45">
      <c r="D3673" s="47"/>
    </row>
    <row r="3674" spans="4:4" x14ac:dyDescent="0.45">
      <c r="D3674" s="47"/>
    </row>
    <row r="3675" spans="4:4" x14ac:dyDescent="0.45">
      <c r="D3675" s="47"/>
    </row>
    <row r="3676" spans="4:4" x14ac:dyDescent="0.45">
      <c r="D3676" s="47"/>
    </row>
    <row r="3677" spans="4:4" x14ac:dyDescent="0.45">
      <c r="D3677" s="47"/>
    </row>
    <row r="3678" spans="4:4" x14ac:dyDescent="0.45">
      <c r="D3678" s="47"/>
    </row>
    <row r="3679" spans="4:4" x14ac:dyDescent="0.45">
      <c r="D3679" s="47"/>
    </row>
    <row r="3680" spans="4:4" x14ac:dyDescent="0.45">
      <c r="D3680" s="47"/>
    </row>
    <row r="3681" spans="4:4" x14ac:dyDescent="0.45">
      <c r="D3681" s="47"/>
    </row>
    <row r="3682" spans="4:4" x14ac:dyDescent="0.45">
      <c r="D3682" s="47"/>
    </row>
    <row r="3683" spans="4:4" x14ac:dyDescent="0.45">
      <c r="D3683" s="47"/>
    </row>
    <row r="3684" spans="4:4" x14ac:dyDescent="0.45">
      <c r="D3684" s="47"/>
    </row>
    <row r="3685" spans="4:4" x14ac:dyDescent="0.45">
      <c r="D3685" s="47"/>
    </row>
    <row r="3686" spans="4:4" x14ac:dyDescent="0.45">
      <c r="D3686" s="47"/>
    </row>
    <row r="3687" spans="4:4" x14ac:dyDescent="0.45">
      <c r="D3687" s="47"/>
    </row>
    <row r="3688" spans="4:4" x14ac:dyDescent="0.45">
      <c r="D3688" s="47"/>
    </row>
    <row r="3689" spans="4:4" x14ac:dyDescent="0.45">
      <c r="D3689" s="47"/>
    </row>
    <row r="3690" spans="4:4" x14ac:dyDescent="0.45">
      <c r="D3690" s="47"/>
    </row>
    <row r="3691" spans="4:4" x14ac:dyDescent="0.45">
      <c r="D3691" s="47"/>
    </row>
    <row r="3692" spans="4:4" x14ac:dyDescent="0.45">
      <c r="D3692" s="47"/>
    </row>
    <row r="3693" spans="4:4" x14ac:dyDescent="0.45">
      <c r="D3693" s="47"/>
    </row>
    <row r="3694" spans="4:4" x14ac:dyDescent="0.45">
      <c r="D3694" s="47"/>
    </row>
    <row r="3695" spans="4:4" x14ac:dyDescent="0.45">
      <c r="D3695" s="47"/>
    </row>
    <row r="3696" spans="4:4" x14ac:dyDescent="0.45">
      <c r="D3696" s="47"/>
    </row>
    <row r="3697" spans="4:4" x14ac:dyDescent="0.45">
      <c r="D3697" s="47"/>
    </row>
    <row r="3698" spans="4:4" x14ac:dyDescent="0.45">
      <c r="D3698" s="47"/>
    </row>
    <row r="3699" spans="4:4" x14ac:dyDescent="0.45">
      <c r="D3699" s="47"/>
    </row>
    <row r="3700" spans="4:4" x14ac:dyDescent="0.45">
      <c r="D3700" s="47"/>
    </row>
    <row r="3701" spans="4:4" x14ac:dyDescent="0.45">
      <c r="D3701" s="47"/>
    </row>
    <row r="3702" spans="4:4" x14ac:dyDescent="0.45">
      <c r="D3702" s="47"/>
    </row>
    <row r="3703" spans="4:4" x14ac:dyDescent="0.45">
      <c r="D3703" s="47"/>
    </row>
    <row r="3704" spans="4:4" x14ac:dyDescent="0.45">
      <c r="D3704" s="47"/>
    </row>
    <row r="3705" spans="4:4" x14ac:dyDescent="0.45">
      <c r="D3705" s="47"/>
    </row>
    <row r="3706" spans="4:4" x14ac:dyDescent="0.45">
      <c r="D3706" s="47"/>
    </row>
    <row r="3707" spans="4:4" x14ac:dyDescent="0.45">
      <c r="D3707" s="47"/>
    </row>
    <row r="3708" spans="4:4" x14ac:dyDescent="0.45">
      <c r="D3708" s="47"/>
    </row>
    <row r="3709" spans="4:4" x14ac:dyDescent="0.45">
      <c r="D3709" s="47"/>
    </row>
    <row r="3710" spans="4:4" x14ac:dyDescent="0.45">
      <c r="D3710" s="47"/>
    </row>
    <row r="3711" spans="4:4" x14ac:dyDescent="0.45">
      <c r="D3711" s="47"/>
    </row>
    <row r="3712" spans="4:4" x14ac:dyDescent="0.45">
      <c r="D3712" s="47"/>
    </row>
    <row r="3713" spans="4:4" x14ac:dyDescent="0.45">
      <c r="D3713" s="47"/>
    </row>
    <row r="3714" spans="4:4" x14ac:dyDescent="0.45">
      <c r="D3714" s="47"/>
    </row>
    <row r="3715" spans="4:4" x14ac:dyDescent="0.45">
      <c r="D3715" s="47"/>
    </row>
    <row r="3716" spans="4:4" x14ac:dyDescent="0.45">
      <c r="D3716" s="47"/>
    </row>
    <row r="3717" spans="4:4" x14ac:dyDescent="0.45">
      <c r="D3717" s="47"/>
    </row>
    <row r="3718" spans="4:4" x14ac:dyDescent="0.45">
      <c r="D3718" s="47"/>
    </row>
    <row r="3719" spans="4:4" x14ac:dyDescent="0.45">
      <c r="D3719" s="47"/>
    </row>
    <row r="3720" spans="4:4" x14ac:dyDescent="0.45">
      <c r="D3720" s="47"/>
    </row>
    <row r="3721" spans="4:4" x14ac:dyDescent="0.45">
      <c r="D3721" s="47"/>
    </row>
    <row r="3722" spans="4:4" x14ac:dyDescent="0.45">
      <c r="D3722" s="47"/>
    </row>
    <row r="3723" spans="4:4" x14ac:dyDescent="0.45">
      <c r="D3723" s="47"/>
    </row>
    <row r="3724" spans="4:4" x14ac:dyDescent="0.45">
      <c r="D3724" s="47"/>
    </row>
    <row r="3725" spans="4:4" x14ac:dyDescent="0.45">
      <c r="D3725" s="47"/>
    </row>
    <row r="3726" spans="4:4" x14ac:dyDescent="0.45">
      <c r="D3726" s="47"/>
    </row>
    <row r="3727" spans="4:4" x14ac:dyDescent="0.45">
      <c r="D3727" s="47"/>
    </row>
    <row r="3728" spans="4:4" x14ac:dyDescent="0.45">
      <c r="D3728" s="47"/>
    </row>
    <row r="3729" spans="4:4" x14ac:dyDescent="0.45">
      <c r="D3729" s="47"/>
    </row>
    <row r="3730" spans="4:4" x14ac:dyDescent="0.45">
      <c r="D3730" s="47"/>
    </row>
    <row r="3731" spans="4:4" x14ac:dyDescent="0.45">
      <c r="D3731" s="47"/>
    </row>
    <row r="3732" spans="4:4" x14ac:dyDescent="0.45">
      <c r="D3732" s="47"/>
    </row>
    <row r="3733" spans="4:4" x14ac:dyDescent="0.45">
      <c r="D3733" s="47"/>
    </row>
    <row r="3734" spans="4:4" x14ac:dyDescent="0.45">
      <c r="D3734" s="47"/>
    </row>
    <row r="3735" spans="4:4" x14ac:dyDescent="0.45">
      <c r="D3735" s="47"/>
    </row>
    <row r="3736" spans="4:4" x14ac:dyDescent="0.45">
      <c r="D3736" s="47"/>
    </row>
    <row r="3737" spans="4:4" x14ac:dyDescent="0.45">
      <c r="D3737" s="47"/>
    </row>
    <row r="3738" spans="4:4" x14ac:dyDescent="0.45">
      <c r="D3738" s="47"/>
    </row>
    <row r="3739" spans="4:4" x14ac:dyDescent="0.45">
      <c r="D3739" s="47"/>
    </row>
    <row r="3740" spans="4:4" x14ac:dyDescent="0.45">
      <c r="D3740" s="47"/>
    </row>
    <row r="3741" spans="4:4" x14ac:dyDescent="0.45">
      <c r="D3741" s="47"/>
    </row>
    <row r="3742" spans="4:4" x14ac:dyDescent="0.45">
      <c r="D3742" s="47"/>
    </row>
    <row r="3743" spans="4:4" x14ac:dyDescent="0.45">
      <c r="D3743" s="47"/>
    </row>
    <row r="3744" spans="4:4" x14ac:dyDescent="0.45">
      <c r="D3744" s="47"/>
    </row>
    <row r="3745" spans="4:4" x14ac:dyDescent="0.45">
      <c r="D3745" s="47"/>
    </row>
    <row r="3746" spans="4:4" x14ac:dyDescent="0.45">
      <c r="D3746" s="47"/>
    </row>
    <row r="3747" spans="4:4" x14ac:dyDescent="0.45">
      <c r="D3747" s="47"/>
    </row>
    <row r="3748" spans="4:4" x14ac:dyDescent="0.45">
      <c r="D3748" s="47"/>
    </row>
    <row r="3749" spans="4:4" x14ac:dyDescent="0.45">
      <c r="D3749" s="47"/>
    </row>
    <row r="3750" spans="4:4" x14ac:dyDescent="0.45">
      <c r="D3750" s="47"/>
    </row>
    <row r="3751" spans="4:4" x14ac:dyDescent="0.45">
      <c r="D3751" s="47"/>
    </row>
    <row r="3752" spans="4:4" x14ac:dyDescent="0.45">
      <c r="D3752" s="47"/>
    </row>
    <row r="3753" spans="4:4" x14ac:dyDescent="0.45">
      <c r="D3753" s="47"/>
    </row>
    <row r="3754" spans="4:4" x14ac:dyDescent="0.45">
      <c r="D3754" s="47"/>
    </row>
    <row r="3755" spans="4:4" x14ac:dyDescent="0.45">
      <c r="D3755" s="47"/>
    </row>
    <row r="3756" spans="4:4" x14ac:dyDescent="0.45">
      <c r="D3756" s="47"/>
    </row>
    <row r="3757" spans="4:4" x14ac:dyDescent="0.45">
      <c r="D3757" s="47"/>
    </row>
    <row r="3758" spans="4:4" x14ac:dyDescent="0.45">
      <c r="D3758" s="47"/>
    </row>
    <row r="3759" spans="4:4" x14ac:dyDescent="0.45">
      <c r="D3759" s="47"/>
    </row>
    <row r="3760" spans="4:4" x14ac:dyDescent="0.45">
      <c r="D3760" s="47"/>
    </row>
    <row r="3761" spans="4:4" x14ac:dyDescent="0.45">
      <c r="D3761" s="47"/>
    </row>
    <row r="3762" spans="4:4" x14ac:dyDescent="0.45">
      <c r="D3762" s="47"/>
    </row>
    <row r="3763" spans="4:4" x14ac:dyDescent="0.45">
      <c r="D3763" s="47"/>
    </row>
    <row r="3764" spans="4:4" x14ac:dyDescent="0.45">
      <c r="D3764" s="47"/>
    </row>
    <row r="3765" spans="4:4" x14ac:dyDescent="0.45">
      <c r="D3765" s="47"/>
    </row>
    <row r="3766" spans="4:4" x14ac:dyDescent="0.45">
      <c r="D3766" s="47"/>
    </row>
    <row r="3767" spans="4:4" x14ac:dyDescent="0.45">
      <c r="D3767" s="47"/>
    </row>
    <row r="3768" spans="4:4" x14ac:dyDescent="0.45">
      <c r="D3768" s="47"/>
    </row>
    <row r="3769" spans="4:4" x14ac:dyDescent="0.45">
      <c r="D3769" s="47"/>
    </row>
    <row r="3770" spans="4:4" x14ac:dyDescent="0.45">
      <c r="D3770" s="47"/>
    </row>
    <row r="3771" spans="4:4" x14ac:dyDescent="0.45">
      <c r="D3771" s="47"/>
    </row>
    <row r="3772" spans="4:4" x14ac:dyDescent="0.45">
      <c r="D3772" s="47"/>
    </row>
    <row r="3773" spans="4:4" x14ac:dyDescent="0.45">
      <c r="D3773" s="47"/>
    </row>
    <row r="3774" spans="4:4" x14ac:dyDescent="0.45">
      <c r="D3774" s="47"/>
    </row>
    <row r="3775" spans="4:4" x14ac:dyDescent="0.45">
      <c r="D3775" s="47"/>
    </row>
    <row r="3776" spans="4:4" x14ac:dyDescent="0.45">
      <c r="D3776" s="47"/>
    </row>
    <row r="3777" spans="4:4" x14ac:dyDescent="0.45">
      <c r="D3777" s="47"/>
    </row>
    <row r="3778" spans="4:4" x14ac:dyDescent="0.45">
      <c r="D3778" s="47"/>
    </row>
    <row r="3779" spans="4:4" x14ac:dyDescent="0.45">
      <c r="D3779" s="47"/>
    </row>
    <row r="3780" spans="4:4" x14ac:dyDescent="0.45">
      <c r="D3780" s="47"/>
    </row>
    <row r="3781" spans="4:4" x14ac:dyDescent="0.45">
      <c r="D3781" s="47"/>
    </row>
    <row r="3782" spans="4:4" x14ac:dyDescent="0.45">
      <c r="D3782" s="47"/>
    </row>
    <row r="3783" spans="4:4" x14ac:dyDescent="0.45">
      <c r="D3783" s="47"/>
    </row>
    <row r="3784" spans="4:4" x14ac:dyDescent="0.45">
      <c r="D3784" s="47"/>
    </row>
    <row r="3785" spans="4:4" x14ac:dyDescent="0.45">
      <c r="D3785" s="47"/>
    </row>
    <row r="3786" spans="4:4" x14ac:dyDescent="0.45">
      <c r="D3786" s="47"/>
    </row>
    <row r="3787" spans="4:4" x14ac:dyDescent="0.45">
      <c r="D3787" s="47"/>
    </row>
    <row r="3788" spans="4:4" x14ac:dyDescent="0.45">
      <c r="D3788" s="47"/>
    </row>
    <row r="3789" spans="4:4" x14ac:dyDescent="0.45">
      <c r="D3789" s="47"/>
    </row>
    <row r="3790" spans="4:4" x14ac:dyDescent="0.45">
      <c r="D3790" s="47"/>
    </row>
    <row r="3791" spans="4:4" x14ac:dyDescent="0.45">
      <c r="D3791" s="47"/>
    </row>
    <row r="3792" spans="4:4" x14ac:dyDescent="0.45">
      <c r="D3792" s="47"/>
    </row>
    <row r="3793" spans="4:4" x14ac:dyDescent="0.45">
      <c r="D3793" s="47"/>
    </row>
    <row r="3794" spans="4:4" x14ac:dyDescent="0.45">
      <c r="D3794" s="47"/>
    </row>
    <row r="3795" spans="4:4" x14ac:dyDescent="0.45">
      <c r="D3795" s="47"/>
    </row>
    <row r="3796" spans="4:4" x14ac:dyDescent="0.45">
      <c r="D3796" s="47"/>
    </row>
    <row r="3797" spans="4:4" x14ac:dyDescent="0.45">
      <c r="D3797" s="47"/>
    </row>
    <row r="3798" spans="4:4" x14ac:dyDescent="0.45">
      <c r="D3798" s="47"/>
    </row>
    <row r="3799" spans="4:4" x14ac:dyDescent="0.45">
      <c r="D3799" s="47"/>
    </row>
    <row r="3800" spans="4:4" x14ac:dyDescent="0.45">
      <c r="D3800" s="47"/>
    </row>
    <row r="3801" spans="4:4" x14ac:dyDescent="0.45">
      <c r="D3801" s="47"/>
    </row>
    <row r="3802" spans="4:4" x14ac:dyDescent="0.45">
      <c r="D3802" s="47"/>
    </row>
    <row r="3803" spans="4:4" x14ac:dyDescent="0.45">
      <c r="D3803" s="47"/>
    </row>
    <row r="3804" spans="4:4" x14ac:dyDescent="0.45">
      <c r="D3804" s="47"/>
    </row>
    <row r="3805" spans="4:4" x14ac:dyDescent="0.45">
      <c r="D3805" s="47"/>
    </row>
    <row r="3806" spans="4:4" x14ac:dyDescent="0.45">
      <c r="D3806" s="47"/>
    </row>
    <row r="3807" spans="4:4" x14ac:dyDescent="0.45">
      <c r="D3807" s="47"/>
    </row>
    <row r="3808" spans="4:4" x14ac:dyDescent="0.45">
      <c r="D3808" s="47"/>
    </row>
    <row r="3809" spans="4:4" x14ac:dyDescent="0.45">
      <c r="D3809" s="47"/>
    </row>
    <row r="3810" spans="4:4" x14ac:dyDescent="0.45">
      <c r="D3810" s="47"/>
    </row>
    <row r="3811" spans="4:4" x14ac:dyDescent="0.45">
      <c r="D3811" s="47"/>
    </row>
    <row r="3812" spans="4:4" x14ac:dyDescent="0.45">
      <c r="D3812" s="47"/>
    </row>
    <row r="3813" spans="4:4" x14ac:dyDescent="0.45">
      <c r="D3813" s="47"/>
    </row>
    <row r="3814" spans="4:4" x14ac:dyDescent="0.45">
      <c r="D3814" s="47"/>
    </row>
    <row r="3815" spans="4:4" x14ac:dyDescent="0.45">
      <c r="D3815" s="47"/>
    </row>
    <row r="3816" spans="4:4" x14ac:dyDescent="0.45">
      <c r="D3816" s="47"/>
    </row>
    <row r="3817" spans="4:4" x14ac:dyDescent="0.45">
      <c r="D3817" s="47"/>
    </row>
    <row r="3818" spans="4:4" x14ac:dyDescent="0.45">
      <c r="D3818" s="47"/>
    </row>
    <row r="3819" spans="4:4" x14ac:dyDescent="0.45">
      <c r="D3819" s="47"/>
    </row>
    <row r="3820" spans="4:4" x14ac:dyDescent="0.45">
      <c r="D3820" s="47"/>
    </row>
    <row r="3821" spans="4:4" x14ac:dyDescent="0.45">
      <c r="D3821" s="47"/>
    </row>
    <row r="3822" spans="4:4" x14ac:dyDescent="0.45">
      <c r="D3822" s="47"/>
    </row>
    <row r="3823" spans="4:4" x14ac:dyDescent="0.45">
      <c r="D3823" s="47"/>
    </row>
    <row r="3824" spans="4:4" x14ac:dyDescent="0.45">
      <c r="D3824" s="47"/>
    </row>
    <row r="3825" spans="4:4" x14ac:dyDescent="0.45">
      <c r="D3825" s="47"/>
    </row>
    <row r="3826" spans="4:4" x14ac:dyDescent="0.45">
      <c r="D3826" s="47"/>
    </row>
    <row r="3827" spans="4:4" x14ac:dyDescent="0.45">
      <c r="D3827" s="47"/>
    </row>
    <row r="3828" spans="4:4" x14ac:dyDescent="0.45">
      <c r="D3828" s="47"/>
    </row>
    <row r="3829" spans="4:4" x14ac:dyDescent="0.45">
      <c r="D3829" s="47"/>
    </row>
    <row r="3830" spans="4:4" x14ac:dyDescent="0.45">
      <c r="D3830" s="47"/>
    </row>
    <row r="3831" spans="4:4" x14ac:dyDescent="0.45">
      <c r="D3831" s="47"/>
    </row>
    <row r="3832" spans="4:4" x14ac:dyDescent="0.45">
      <c r="D3832" s="47"/>
    </row>
    <row r="3833" spans="4:4" x14ac:dyDescent="0.45">
      <c r="D3833" s="47"/>
    </row>
    <row r="3834" spans="4:4" x14ac:dyDescent="0.45">
      <c r="D3834" s="47"/>
    </row>
    <row r="3835" spans="4:4" x14ac:dyDescent="0.45">
      <c r="D3835" s="47"/>
    </row>
    <row r="3836" spans="4:4" x14ac:dyDescent="0.45">
      <c r="D3836" s="47"/>
    </row>
    <row r="3837" spans="4:4" x14ac:dyDescent="0.45">
      <c r="D3837" s="47"/>
    </row>
    <row r="3838" spans="4:4" x14ac:dyDescent="0.45">
      <c r="D3838" s="47"/>
    </row>
    <row r="3839" spans="4:4" x14ac:dyDescent="0.45">
      <c r="D3839" s="47"/>
    </row>
    <row r="3840" spans="4:4" x14ac:dyDescent="0.45">
      <c r="D3840" s="47"/>
    </row>
    <row r="3841" spans="4:4" x14ac:dyDescent="0.45">
      <c r="D3841" s="47"/>
    </row>
    <row r="3842" spans="4:4" x14ac:dyDescent="0.45">
      <c r="D3842" s="47"/>
    </row>
    <row r="3843" spans="4:4" x14ac:dyDescent="0.45">
      <c r="D3843" s="47"/>
    </row>
    <row r="3844" spans="4:4" x14ac:dyDescent="0.45">
      <c r="D3844" s="47"/>
    </row>
    <row r="3845" spans="4:4" x14ac:dyDescent="0.45">
      <c r="D3845" s="47"/>
    </row>
    <row r="3846" spans="4:4" x14ac:dyDescent="0.45">
      <c r="D3846" s="47"/>
    </row>
    <row r="3847" spans="4:4" x14ac:dyDescent="0.45">
      <c r="D3847" s="47"/>
    </row>
    <row r="3848" spans="4:4" x14ac:dyDescent="0.45">
      <c r="D3848" s="47"/>
    </row>
    <row r="3849" spans="4:4" x14ac:dyDescent="0.45">
      <c r="D3849" s="47"/>
    </row>
    <row r="3850" spans="4:4" x14ac:dyDescent="0.45">
      <c r="D3850" s="47"/>
    </row>
    <row r="3851" spans="4:4" x14ac:dyDescent="0.45">
      <c r="D3851" s="47"/>
    </row>
    <row r="3852" spans="4:4" x14ac:dyDescent="0.45">
      <c r="D3852" s="47"/>
    </row>
    <row r="3853" spans="4:4" x14ac:dyDescent="0.45">
      <c r="D3853" s="47"/>
    </row>
    <row r="3854" spans="4:4" x14ac:dyDescent="0.45">
      <c r="D3854" s="47"/>
    </row>
    <row r="3855" spans="4:4" x14ac:dyDescent="0.45">
      <c r="D3855" s="47"/>
    </row>
    <row r="3856" spans="4:4" x14ac:dyDescent="0.45">
      <c r="D3856" s="47"/>
    </row>
    <row r="3857" spans="4:4" x14ac:dyDescent="0.45">
      <c r="D3857" s="47"/>
    </row>
    <row r="3858" spans="4:4" x14ac:dyDescent="0.45">
      <c r="D3858" s="47"/>
    </row>
    <row r="3859" spans="4:4" x14ac:dyDescent="0.45">
      <c r="D3859" s="47"/>
    </row>
    <row r="3860" spans="4:4" x14ac:dyDescent="0.45">
      <c r="D3860" s="47"/>
    </row>
    <row r="3861" spans="4:4" x14ac:dyDescent="0.45">
      <c r="D3861" s="47"/>
    </row>
    <row r="3862" spans="4:4" x14ac:dyDescent="0.45">
      <c r="D3862" s="47"/>
    </row>
    <row r="3863" spans="4:4" x14ac:dyDescent="0.45">
      <c r="D3863" s="47"/>
    </row>
    <row r="3864" spans="4:4" x14ac:dyDescent="0.45">
      <c r="D3864" s="47"/>
    </row>
    <row r="3865" spans="4:4" x14ac:dyDescent="0.45">
      <c r="D3865" s="47"/>
    </row>
    <row r="3866" spans="4:4" x14ac:dyDescent="0.45">
      <c r="D3866" s="47"/>
    </row>
    <row r="3867" spans="4:4" x14ac:dyDescent="0.45">
      <c r="D3867" s="47"/>
    </row>
    <row r="3868" spans="4:4" x14ac:dyDescent="0.45">
      <c r="D3868" s="47"/>
    </row>
    <row r="3869" spans="4:4" x14ac:dyDescent="0.45">
      <c r="D3869" s="47"/>
    </row>
    <row r="3870" spans="4:4" x14ac:dyDescent="0.45">
      <c r="D3870" s="47"/>
    </row>
    <row r="3871" spans="4:4" x14ac:dyDescent="0.45">
      <c r="D3871" s="47"/>
    </row>
    <row r="3872" spans="4:4" x14ac:dyDescent="0.45">
      <c r="D3872" s="47"/>
    </row>
    <row r="3873" spans="4:4" x14ac:dyDescent="0.45">
      <c r="D3873" s="47"/>
    </row>
    <row r="3874" spans="4:4" x14ac:dyDescent="0.45">
      <c r="D3874" s="47"/>
    </row>
    <row r="3875" spans="4:4" x14ac:dyDescent="0.45">
      <c r="D3875" s="47"/>
    </row>
    <row r="3876" spans="4:4" x14ac:dyDescent="0.45">
      <c r="D3876" s="47"/>
    </row>
    <row r="3877" spans="4:4" x14ac:dyDescent="0.45">
      <c r="D3877" s="47"/>
    </row>
    <row r="3878" spans="4:4" x14ac:dyDescent="0.45">
      <c r="D3878" s="47"/>
    </row>
    <row r="3879" spans="4:4" x14ac:dyDescent="0.45">
      <c r="D3879" s="47"/>
    </row>
    <row r="3880" spans="4:4" x14ac:dyDescent="0.45">
      <c r="D3880" s="47"/>
    </row>
    <row r="3881" spans="4:4" x14ac:dyDescent="0.45">
      <c r="D3881" s="47"/>
    </row>
    <row r="3882" spans="4:4" x14ac:dyDescent="0.45">
      <c r="D3882" s="47"/>
    </row>
    <row r="3883" spans="4:4" x14ac:dyDescent="0.45">
      <c r="D3883" s="47"/>
    </row>
    <row r="3884" spans="4:4" x14ac:dyDescent="0.45">
      <c r="D3884" s="47"/>
    </row>
    <row r="3885" spans="4:4" x14ac:dyDescent="0.45">
      <c r="D3885" s="47"/>
    </row>
    <row r="3886" spans="4:4" x14ac:dyDescent="0.45">
      <c r="D3886" s="47"/>
    </row>
    <row r="3887" spans="4:4" x14ac:dyDescent="0.45">
      <c r="D3887" s="47"/>
    </row>
    <row r="3888" spans="4:4" x14ac:dyDescent="0.45">
      <c r="D3888" s="47"/>
    </row>
    <row r="3889" spans="4:4" x14ac:dyDescent="0.45">
      <c r="D3889" s="47"/>
    </row>
    <row r="3890" spans="4:4" x14ac:dyDescent="0.45">
      <c r="D3890" s="47"/>
    </row>
    <row r="3891" spans="4:4" x14ac:dyDescent="0.45">
      <c r="D3891" s="47"/>
    </row>
    <row r="3892" spans="4:4" x14ac:dyDescent="0.45">
      <c r="D3892" s="47"/>
    </row>
    <row r="3893" spans="4:4" x14ac:dyDescent="0.45">
      <c r="D3893" s="47"/>
    </row>
    <row r="3894" spans="4:4" x14ac:dyDescent="0.45">
      <c r="D3894" s="47"/>
    </row>
    <row r="3895" spans="4:4" x14ac:dyDescent="0.45">
      <c r="D3895" s="47"/>
    </row>
    <row r="3896" spans="4:4" x14ac:dyDescent="0.45">
      <c r="D3896" s="47"/>
    </row>
    <row r="3897" spans="4:4" x14ac:dyDescent="0.45">
      <c r="D3897" s="47"/>
    </row>
    <row r="3898" spans="4:4" x14ac:dyDescent="0.45">
      <c r="D3898" s="47"/>
    </row>
    <row r="3899" spans="4:4" x14ac:dyDescent="0.45">
      <c r="D3899" s="47"/>
    </row>
    <row r="3900" spans="4:4" x14ac:dyDescent="0.45">
      <c r="D3900" s="47"/>
    </row>
    <row r="3901" spans="4:4" x14ac:dyDescent="0.45">
      <c r="D3901" s="47"/>
    </row>
    <row r="3902" spans="4:4" x14ac:dyDescent="0.45">
      <c r="D3902" s="47"/>
    </row>
    <row r="3903" spans="4:4" x14ac:dyDescent="0.45">
      <c r="D3903" s="47"/>
    </row>
    <row r="3904" spans="4:4" x14ac:dyDescent="0.45">
      <c r="D3904" s="47"/>
    </row>
    <row r="3905" spans="4:4" x14ac:dyDescent="0.45">
      <c r="D3905" s="47"/>
    </row>
    <row r="3906" spans="4:4" x14ac:dyDescent="0.45">
      <c r="D3906" s="47"/>
    </row>
    <row r="3907" spans="4:4" x14ac:dyDescent="0.45">
      <c r="D3907" s="47"/>
    </row>
    <row r="3908" spans="4:4" x14ac:dyDescent="0.45">
      <c r="D3908" s="47"/>
    </row>
    <row r="3909" spans="4:4" x14ac:dyDescent="0.45">
      <c r="D3909" s="47"/>
    </row>
    <row r="3910" spans="4:4" x14ac:dyDescent="0.45">
      <c r="D3910" s="47"/>
    </row>
    <row r="3911" spans="4:4" x14ac:dyDescent="0.45">
      <c r="D3911" s="47"/>
    </row>
    <row r="3912" spans="4:4" x14ac:dyDescent="0.45">
      <c r="D3912" s="47"/>
    </row>
    <row r="3913" spans="4:4" x14ac:dyDescent="0.45">
      <c r="D3913" s="47"/>
    </row>
    <row r="3914" spans="4:4" x14ac:dyDescent="0.45">
      <c r="D3914" s="47"/>
    </row>
    <row r="3915" spans="4:4" x14ac:dyDescent="0.45">
      <c r="D3915" s="47"/>
    </row>
    <row r="3916" spans="4:4" x14ac:dyDescent="0.45">
      <c r="D3916" s="47"/>
    </row>
    <row r="3917" spans="4:4" x14ac:dyDescent="0.45">
      <c r="D3917" s="47"/>
    </row>
    <row r="3918" spans="4:4" x14ac:dyDescent="0.45">
      <c r="D3918" s="47"/>
    </row>
    <row r="3919" spans="4:4" x14ac:dyDescent="0.45">
      <c r="D3919" s="47"/>
    </row>
    <row r="3920" spans="4:4" x14ac:dyDescent="0.45">
      <c r="D3920" s="47"/>
    </row>
    <row r="3921" spans="4:4" x14ac:dyDescent="0.45">
      <c r="D3921" s="47"/>
    </row>
    <row r="3922" spans="4:4" x14ac:dyDescent="0.45">
      <c r="D3922" s="47"/>
    </row>
    <row r="3923" spans="4:4" x14ac:dyDescent="0.45">
      <c r="D3923" s="47"/>
    </row>
    <row r="3924" spans="4:4" x14ac:dyDescent="0.45">
      <c r="D3924" s="47"/>
    </row>
    <row r="3925" spans="4:4" x14ac:dyDescent="0.45">
      <c r="D3925" s="47"/>
    </row>
    <row r="3926" spans="4:4" x14ac:dyDescent="0.45">
      <c r="D3926" s="47"/>
    </row>
    <row r="3927" spans="4:4" x14ac:dyDescent="0.45">
      <c r="D3927" s="47"/>
    </row>
    <row r="3928" spans="4:4" x14ac:dyDescent="0.45">
      <c r="D3928" s="47"/>
    </row>
    <row r="3929" spans="4:4" x14ac:dyDescent="0.45">
      <c r="D3929" s="47"/>
    </row>
    <row r="3930" spans="4:4" x14ac:dyDescent="0.45">
      <c r="D3930" s="47"/>
    </row>
    <row r="3931" spans="4:4" x14ac:dyDescent="0.45">
      <c r="D3931" s="47"/>
    </row>
    <row r="3932" spans="4:4" x14ac:dyDescent="0.45">
      <c r="D3932" s="47"/>
    </row>
    <row r="3933" spans="4:4" x14ac:dyDescent="0.45">
      <c r="D3933" s="47"/>
    </row>
    <row r="3934" spans="4:4" x14ac:dyDescent="0.45">
      <c r="D3934" s="47"/>
    </row>
    <row r="3935" spans="4:4" x14ac:dyDescent="0.45">
      <c r="D3935" s="47"/>
    </row>
    <row r="3936" spans="4:4" x14ac:dyDescent="0.45">
      <c r="D3936" s="47"/>
    </row>
    <row r="3937" spans="4:4" x14ac:dyDescent="0.45">
      <c r="D3937" s="47"/>
    </row>
    <row r="3938" spans="4:4" x14ac:dyDescent="0.45">
      <c r="D3938" s="47"/>
    </row>
    <row r="3939" spans="4:4" x14ac:dyDescent="0.45">
      <c r="D3939" s="47"/>
    </row>
    <row r="3940" spans="4:4" x14ac:dyDescent="0.45">
      <c r="D3940" s="47"/>
    </row>
    <row r="3941" spans="4:4" x14ac:dyDescent="0.45">
      <c r="D3941" s="47"/>
    </row>
    <row r="3942" spans="4:4" x14ac:dyDescent="0.45">
      <c r="D3942" s="47"/>
    </row>
    <row r="3943" spans="4:4" x14ac:dyDescent="0.45">
      <c r="D3943" s="47"/>
    </row>
    <row r="3944" spans="4:4" x14ac:dyDescent="0.45">
      <c r="D3944" s="47"/>
    </row>
    <row r="3945" spans="4:4" x14ac:dyDescent="0.45">
      <c r="D3945" s="47"/>
    </row>
    <row r="3946" spans="4:4" x14ac:dyDescent="0.45">
      <c r="D3946" s="47"/>
    </row>
    <row r="3947" spans="4:4" x14ac:dyDescent="0.45">
      <c r="D3947" s="47"/>
    </row>
    <row r="3948" spans="4:4" x14ac:dyDescent="0.45">
      <c r="D3948" s="47"/>
    </row>
    <row r="3949" spans="4:4" x14ac:dyDescent="0.45">
      <c r="D3949" s="47"/>
    </row>
    <row r="3950" spans="4:4" x14ac:dyDescent="0.45">
      <c r="D3950" s="47"/>
    </row>
    <row r="3951" spans="4:4" x14ac:dyDescent="0.45">
      <c r="D3951" s="47"/>
    </row>
    <row r="3952" spans="4:4" x14ac:dyDescent="0.45">
      <c r="D3952" s="47"/>
    </row>
    <row r="3953" spans="4:4" x14ac:dyDescent="0.45">
      <c r="D3953" s="47"/>
    </row>
    <row r="3954" spans="4:4" x14ac:dyDescent="0.45">
      <c r="D3954" s="47"/>
    </row>
    <row r="3955" spans="4:4" x14ac:dyDescent="0.45">
      <c r="D3955" s="47"/>
    </row>
    <row r="3956" spans="4:4" x14ac:dyDescent="0.45">
      <c r="D3956" s="47"/>
    </row>
    <row r="3957" spans="4:4" x14ac:dyDescent="0.45">
      <c r="D3957" s="47"/>
    </row>
    <row r="3958" spans="4:4" x14ac:dyDescent="0.45">
      <c r="D3958" s="47"/>
    </row>
    <row r="3959" spans="4:4" x14ac:dyDescent="0.45">
      <c r="D3959" s="47"/>
    </row>
    <row r="3960" spans="4:4" x14ac:dyDescent="0.45">
      <c r="D3960" s="47"/>
    </row>
    <row r="3961" spans="4:4" x14ac:dyDescent="0.45">
      <c r="D3961" s="47"/>
    </row>
    <row r="3962" spans="4:4" x14ac:dyDescent="0.45">
      <c r="D3962" s="47"/>
    </row>
    <row r="3963" spans="4:4" x14ac:dyDescent="0.45">
      <c r="D3963" s="47"/>
    </row>
    <row r="3964" spans="4:4" x14ac:dyDescent="0.45">
      <c r="D3964" s="47"/>
    </row>
    <row r="3965" spans="4:4" x14ac:dyDescent="0.45">
      <c r="D3965" s="47"/>
    </row>
    <row r="3966" spans="4:4" x14ac:dyDescent="0.45">
      <c r="D3966" s="47"/>
    </row>
    <row r="3967" spans="4:4" x14ac:dyDescent="0.45">
      <c r="D3967" s="47"/>
    </row>
    <row r="3968" spans="4:4" x14ac:dyDescent="0.45">
      <c r="D3968" s="47"/>
    </row>
    <row r="3969" spans="4:4" x14ac:dyDescent="0.45">
      <c r="D3969" s="47"/>
    </row>
    <row r="3970" spans="4:4" x14ac:dyDescent="0.45">
      <c r="D3970" s="47"/>
    </row>
    <row r="3971" spans="4:4" x14ac:dyDescent="0.45">
      <c r="D3971" s="47"/>
    </row>
    <row r="3972" spans="4:4" x14ac:dyDescent="0.45">
      <c r="D3972" s="47"/>
    </row>
    <row r="3973" spans="4:4" x14ac:dyDescent="0.45">
      <c r="D3973" s="47"/>
    </row>
    <row r="3974" spans="4:4" x14ac:dyDescent="0.45">
      <c r="D3974" s="47"/>
    </row>
    <row r="3975" spans="4:4" x14ac:dyDescent="0.45">
      <c r="D3975" s="47"/>
    </row>
    <row r="3976" spans="4:4" x14ac:dyDescent="0.45">
      <c r="D3976" s="47"/>
    </row>
    <row r="3977" spans="4:4" x14ac:dyDescent="0.45">
      <c r="D3977" s="47"/>
    </row>
    <row r="3978" spans="4:4" x14ac:dyDescent="0.45">
      <c r="D3978" s="47"/>
    </row>
    <row r="3979" spans="4:4" x14ac:dyDescent="0.45">
      <c r="D3979" s="47"/>
    </row>
    <row r="3980" spans="4:4" x14ac:dyDescent="0.45">
      <c r="D3980" s="47"/>
    </row>
    <row r="3981" spans="4:4" x14ac:dyDescent="0.45">
      <c r="D3981" s="47"/>
    </row>
    <row r="3982" spans="4:4" x14ac:dyDescent="0.45">
      <c r="D3982" s="47"/>
    </row>
    <row r="3983" spans="4:4" x14ac:dyDescent="0.45">
      <c r="D3983" s="47"/>
    </row>
    <row r="3984" spans="4:4" x14ac:dyDescent="0.45">
      <c r="D3984" s="47"/>
    </row>
    <row r="3985" spans="4:4" x14ac:dyDescent="0.45">
      <c r="D3985" s="47"/>
    </row>
    <row r="3986" spans="4:4" x14ac:dyDescent="0.45">
      <c r="D3986" s="47"/>
    </row>
    <row r="3987" spans="4:4" x14ac:dyDescent="0.45">
      <c r="D3987" s="47"/>
    </row>
    <row r="3988" spans="4:4" x14ac:dyDescent="0.45">
      <c r="D3988" s="47"/>
    </row>
    <row r="3989" spans="4:4" x14ac:dyDescent="0.45">
      <c r="D3989" s="47"/>
    </row>
    <row r="3990" spans="4:4" x14ac:dyDescent="0.45">
      <c r="D3990" s="47"/>
    </row>
    <row r="3991" spans="4:4" x14ac:dyDescent="0.45">
      <c r="D3991" s="47"/>
    </row>
    <row r="3992" spans="4:4" x14ac:dyDescent="0.45">
      <c r="D3992" s="47"/>
    </row>
    <row r="3993" spans="4:4" x14ac:dyDescent="0.45">
      <c r="D3993" s="47"/>
    </row>
    <row r="3994" spans="4:4" x14ac:dyDescent="0.45">
      <c r="D3994" s="47"/>
    </row>
    <row r="3995" spans="4:4" x14ac:dyDescent="0.45">
      <c r="D3995" s="47"/>
    </row>
    <row r="3996" spans="4:4" x14ac:dyDescent="0.45">
      <c r="D3996" s="47"/>
    </row>
    <row r="3997" spans="4:4" x14ac:dyDescent="0.45">
      <c r="D3997" s="47"/>
    </row>
    <row r="3998" spans="4:4" x14ac:dyDescent="0.45">
      <c r="D3998" s="47"/>
    </row>
    <row r="3999" spans="4:4" x14ac:dyDescent="0.45">
      <c r="D3999" s="47"/>
    </row>
    <row r="4000" spans="4:4" x14ac:dyDescent="0.45">
      <c r="D4000" s="47"/>
    </row>
    <row r="4001" spans="4:4" x14ac:dyDescent="0.45">
      <c r="D4001" s="47"/>
    </row>
    <row r="4002" spans="4:4" x14ac:dyDescent="0.45">
      <c r="D4002" s="47"/>
    </row>
    <row r="4003" spans="4:4" x14ac:dyDescent="0.45">
      <c r="D4003" s="47"/>
    </row>
    <row r="4004" spans="4:4" x14ac:dyDescent="0.45">
      <c r="D4004" s="47"/>
    </row>
    <row r="4005" spans="4:4" x14ac:dyDescent="0.45">
      <c r="D4005" s="47"/>
    </row>
    <row r="4006" spans="4:4" x14ac:dyDescent="0.45">
      <c r="D4006" s="47"/>
    </row>
    <row r="4007" spans="4:4" x14ac:dyDescent="0.45">
      <c r="D4007" s="47"/>
    </row>
    <row r="4008" spans="4:4" x14ac:dyDescent="0.45">
      <c r="D4008" s="47"/>
    </row>
    <row r="4009" spans="4:4" x14ac:dyDescent="0.45">
      <c r="D4009" s="47"/>
    </row>
    <row r="4010" spans="4:4" x14ac:dyDescent="0.45">
      <c r="D4010" s="47"/>
    </row>
    <row r="4011" spans="4:4" x14ac:dyDescent="0.45">
      <c r="D4011" s="47"/>
    </row>
    <row r="4012" spans="4:4" x14ac:dyDescent="0.45">
      <c r="D4012" s="47"/>
    </row>
    <row r="4013" spans="4:4" x14ac:dyDescent="0.45">
      <c r="D4013" s="47"/>
    </row>
    <row r="4014" spans="4:4" x14ac:dyDescent="0.45">
      <c r="D4014" s="47"/>
    </row>
    <row r="4015" spans="4:4" x14ac:dyDescent="0.45">
      <c r="D4015" s="47"/>
    </row>
    <row r="4016" spans="4:4" x14ac:dyDescent="0.45">
      <c r="D4016" s="47"/>
    </row>
    <row r="4017" spans="4:4" x14ac:dyDescent="0.45">
      <c r="D4017" s="47"/>
    </row>
    <row r="4018" spans="4:4" x14ac:dyDescent="0.45">
      <c r="D4018" s="47"/>
    </row>
    <row r="4019" spans="4:4" x14ac:dyDescent="0.45">
      <c r="D4019" s="47"/>
    </row>
    <row r="4020" spans="4:4" x14ac:dyDescent="0.45">
      <c r="D4020" s="47"/>
    </row>
    <row r="4021" spans="4:4" x14ac:dyDescent="0.45">
      <c r="D4021" s="47"/>
    </row>
    <row r="4022" spans="4:4" x14ac:dyDescent="0.45">
      <c r="D4022" s="47"/>
    </row>
    <row r="4023" spans="4:4" x14ac:dyDescent="0.45">
      <c r="D4023" s="47"/>
    </row>
    <row r="4024" spans="4:4" x14ac:dyDescent="0.45">
      <c r="D4024" s="47"/>
    </row>
    <row r="4025" spans="4:4" x14ac:dyDescent="0.45">
      <c r="D4025" s="47"/>
    </row>
    <row r="4026" spans="4:4" x14ac:dyDescent="0.45">
      <c r="D4026" s="47"/>
    </row>
    <row r="4027" spans="4:4" x14ac:dyDescent="0.45">
      <c r="D4027" s="47"/>
    </row>
    <row r="4028" spans="4:4" x14ac:dyDescent="0.45">
      <c r="D4028" s="47"/>
    </row>
    <row r="4029" spans="4:4" x14ac:dyDescent="0.45">
      <c r="D4029" s="47"/>
    </row>
    <row r="4030" spans="4:4" x14ac:dyDescent="0.45">
      <c r="D4030" s="47"/>
    </row>
    <row r="4031" spans="4:4" x14ac:dyDescent="0.45">
      <c r="D4031" s="47"/>
    </row>
    <row r="4032" spans="4:4" x14ac:dyDescent="0.45">
      <c r="D4032" s="47"/>
    </row>
    <row r="4033" spans="4:4" x14ac:dyDescent="0.45">
      <c r="D4033" s="47"/>
    </row>
    <row r="4034" spans="4:4" x14ac:dyDescent="0.45">
      <c r="D4034" s="47"/>
    </row>
    <row r="4035" spans="4:4" x14ac:dyDescent="0.45">
      <c r="D4035" s="47"/>
    </row>
    <row r="4036" spans="4:4" x14ac:dyDescent="0.45">
      <c r="D4036" s="47"/>
    </row>
    <row r="4037" spans="4:4" x14ac:dyDescent="0.45">
      <c r="D4037" s="47"/>
    </row>
    <row r="4038" spans="4:4" x14ac:dyDescent="0.45">
      <c r="D4038" s="47"/>
    </row>
    <row r="4039" spans="4:4" x14ac:dyDescent="0.45">
      <c r="D4039" s="47"/>
    </row>
    <row r="4040" spans="4:4" x14ac:dyDescent="0.45">
      <c r="D4040" s="47"/>
    </row>
    <row r="4041" spans="4:4" x14ac:dyDescent="0.45">
      <c r="D4041" s="47"/>
    </row>
    <row r="4042" spans="4:4" x14ac:dyDescent="0.45">
      <c r="D4042" s="47"/>
    </row>
    <row r="4043" spans="4:4" x14ac:dyDescent="0.45">
      <c r="D4043" s="47"/>
    </row>
    <row r="4044" spans="4:4" x14ac:dyDescent="0.45">
      <c r="D4044" s="47"/>
    </row>
    <row r="4045" spans="4:4" x14ac:dyDescent="0.45">
      <c r="D4045" s="47"/>
    </row>
    <row r="4046" spans="4:4" x14ac:dyDescent="0.45">
      <c r="D4046" s="47"/>
    </row>
    <row r="4047" spans="4:4" x14ac:dyDescent="0.45">
      <c r="D4047" s="47"/>
    </row>
    <row r="4048" spans="4:4" x14ac:dyDescent="0.45">
      <c r="D4048" s="47"/>
    </row>
    <row r="4049" spans="4:4" x14ac:dyDescent="0.45">
      <c r="D4049" s="47"/>
    </row>
    <row r="4050" spans="4:4" x14ac:dyDescent="0.45">
      <c r="D4050" s="47"/>
    </row>
    <row r="4051" spans="4:4" x14ac:dyDescent="0.45">
      <c r="D4051" s="47"/>
    </row>
    <row r="4052" spans="4:4" x14ac:dyDescent="0.45">
      <c r="D4052" s="47"/>
    </row>
    <row r="4053" spans="4:4" x14ac:dyDescent="0.45">
      <c r="D4053" s="47"/>
    </row>
    <row r="4054" spans="4:4" x14ac:dyDescent="0.45">
      <c r="D4054" s="47"/>
    </row>
    <row r="4055" spans="4:4" x14ac:dyDescent="0.45">
      <c r="D4055" s="47"/>
    </row>
    <row r="4056" spans="4:4" x14ac:dyDescent="0.45">
      <c r="D4056" s="47"/>
    </row>
    <row r="4057" spans="4:4" x14ac:dyDescent="0.45">
      <c r="D4057" s="47"/>
    </row>
    <row r="4058" spans="4:4" x14ac:dyDescent="0.45">
      <c r="D4058" s="47"/>
    </row>
    <row r="4059" spans="4:4" x14ac:dyDescent="0.45">
      <c r="D4059" s="47"/>
    </row>
    <row r="4060" spans="4:4" x14ac:dyDescent="0.45">
      <c r="D4060" s="47"/>
    </row>
    <row r="4061" spans="4:4" x14ac:dyDescent="0.45">
      <c r="D4061" s="47"/>
    </row>
    <row r="4062" spans="4:4" x14ac:dyDescent="0.45">
      <c r="D4062" s="47"/>
    </row>
    <row r="4063" spans="4:4" x14ac:dyDescent="0.45">
      <c r="D4063" s="47"/>
    </row>
    <row r="4064" spans="4:4" x14ac:dyDescent="0.45">
      <c r="D4064" s="47"/>
    </row>
    <row r="4065" spans="4:4" x14ac:dyDescent="0.45">
      <c r="D4065" s="47"/>
    </row>
    <row r="4066" spans="4:4" x14ac:dyDescent="0.45">
      <c r="D4066" s="47"/>
    </row>
    <row r="4067" spans="4:4" x14ac:dyDescent="0.45">
      <c r="D4067" s="47"/>
    </row>
    <row r="4068" spans="4:4" x14ac:dyDescent="0.45">
      <c r="D4068" s="47"/>
    </row>
    <row r="4069" spans="4:4" x14ac:dyDescent="0.45">
      <c r="D4069" s="47"/>
    </row>
    <row r="4070" spans="4:4" x14ac:dyDescent="0.45">
      <c r="D4070" s="47"/>
    </row>
    <row r="4071" spans="4:4" x14ac:dyDescent="0.45">
      <c r="D4071" s="47"/>
    </row>
    <row r="4072" spans="4:4" x14ac:dyDescent="0.45">
      <c r="D4072" s="47"/>
    </row>
    <row r="4073" spans="4:4" x14ac:dyDescent="0.45">
      <c r="D4073" s="47"/>
    </row>
    <row r="4074" spans="4:4" x14ac:dyDescent="0.45">
      <c r="D4074" s="47"/>
    </row>
    <row r="4075" spans="4:4" x14ac:dyDescent="0.45">
      <c r="D4075" s="47"/>
    </row>
    <row r="4076" spans="4:4" x14ac:dyDescent="0.45">
      <c r="D4076" s="47"/>
    </row>
    <row r="4077" spans="4:4" x14ac:dyDescent="0.45">
      <c r="D4077" s="47"/>
    </row>
    <row r="4078" spans="4:4" x14ac:dyDescent="0.45">
      <c r="D4078" s="47"/>
    </row>
    <row r="4079" spans="4:4" x14ac:dyDescent="0.45">
      <c r="D4079" s="47"/>
    </row>
    <row r="4080" spans="4:4" x14ac:dyDescent="0.45">
      <c r="D4080" s="47"/>
    </row>
    <row r="4081" spans="4:4" x14ac:dyDescent="0.45">
      <c r="D4081" s="47"/>
    </row>
    <row r="4082" spans="4:4" x14ac:dyDescent="0.45">
      <c r="D4082" s="47"/>
    </row>
    <row r="4083" spans="4:4" x14ac:dyDescent="0.45">
      <c r="D4083" s="47"/>
    </row>
    <row r="4084" spans="4:4" x14ac:dyDescent="0.45">
      <c r="D4084" s="47"/>
    </row>
    <row r="4085" spans="4:4" x14ac:dyDescent="0.45">
      <c r="D4085" s="47"/>
    </row>
    <row r="4086" spans="4:4" x14ac:dyDescent="0.45">
      <c r="D4086" s="47"/>
    </row>
    <row r="4087" spans="4:4" x14ac:dyDescent="0.45">
      <c r="D4087" s="47"/>
    </row>
    <row r="4088" spans="4:4" x14ac:dyDescent="0.45">
      <c r="D4088" s="47"/>
    </row>
    <row r="4089" spans="4:4" x14ac:dyDescent="0.45">
      <c r="D4089" s="47"/>
    </row>
    <row r="4090" spans="4:4" x14ac:dyDescent="0.45">
      <c r="D4090" s="47"/>
    </row>
    <row r="4091" spans="4:4" x14ac:dyDescent="0.45">
      <c r="D4091" s="47"/>
    </row>
    <row r="4092" spans="4:4" x14ac:dyDescent="0.45">
      <c r="D4092" s="47"/>
    </row>
    <row r="4093" spans="4:4" x14ac:dyDescent="0.45">
      <c r="D4093" s="47"/>
    </row>
    <row r="4094" spans="4:4" x14ac:dyDescent="0.45">
      <c r="D4094" s="47"/>
    </row>
    <row r="4095" spans="4:4" x14ac:dyDescent="0.45">
      <c r="D4095" s="47"/>
    </row>
    <row r="4096" spans="4:4" x14ac:dyDescent="0.45">
      <c r="D4096" s="47"/>
    </row>
    <row r="4097" spans="4:4" x14ac:dyDescent="0.45">
      <c r="D4097" s="47"/>
    </row>
    <row r="4098" spans="4:4" x14ac:dyDescent="0.45">
      <c r="D4098" s="47"/>
    </row>
    <row r="4099" spans="4:4" x14ac:dyDescent="0.45">
      <c r="D4099" s="47"/>
    </row>
    <row r="4100" spans="4:4" x14ac:dyDescent="0.45">
      <c r="D4100" s="47"/>
    </row>
    <row r="4101" spans="4:4" x14ac:dyDescent="0.45">
      <c r="D4101" s="47"/>
    </row>
    <row r="4102" spans="4:4" x14ac:dyDescent="0.45">
      <c r="D4102" s="47"/>
    </row>
    <row r="4103" spans="4:4" x14ac:dyDescent="0.45">
      <c r="D4103" s="47"/>
    </row>
    <row r="4104" spans="4:4" x14ac:dyDescent="0.45">
      <c r="D4104" s="47"/>
    </row>
    <row r="4105" spans="4:4" x14ac:dyDescent="0.45">
      <c r="D4105" s="47"/>
    </row>
    <row r="4106" spans="4:4" x14ac:dyDescent="0.45">
      <c r="D4106" s="47"/>
    </row>
    <row r="4107" spans="4:4" x14ac:dyDescent="0.45">
      <c r="D4107" s="47"/>
    </row>
    <row r="4108" spans="4:4" x14ac:dyDescent="0.45">
      <c r="D4108" s="47"/>
    </row>
    <row r="4109" spans="4:4" x14ac:dyDescent="0.45">
      <c r="D4109" s="47"/>
    </row>
    <row r="4110" spans="4:4" x14ac:dyDescent="0.45">
      <c r="D4110" s="47"/>
    </row>
    <row r="4111" spans="4:4" x14ac:dyDescent="0.45">
      <c r="D4111" s="47"/>
    </row>
    <row r="4112" spans="4:4" x14ac:dyDescent="0.45">
      <c r="D4112" s="47"/>
    </row>
    <row r="4113" spans="4:4" x14ac:dyDescent="0.45">
      <c r="D4113" s="47"/>
    </row>
    <row r="4114" spans="4:4" x14ac:dyDescent="0.45">
      <c r="D4114" s="47"/>
    </row>
    <row r="4115" spans="4:4" x14ac:dyDescent="0.45">
      <c r="D4115" s="47"/>
    </row>
    <row r="4116" spans="4:4" x14ac:dyDescent="0.45">
      <c r="D4116" s="47"/>
    </row>
    <row r="4117" spans="4:4" x14ac:dyDescent="0.45">
      <c r="D4117" s="47"/>
    </row>
    <row r="4118" spans="4:4" x14ac:dyDescent="0.45">
      <c r="D4118" s="47"/>
    </row>
    <row r="4119" spans="4:4" x14ac:dyDescent="0.45">
      <c r="D4119" s="47"/>
    </row>
    <row r="4120" spans="4:4" x14ac:dyDescent="0.45">
      <c r="D4120" s="47"/>
    </row>
    <row r="4121" spans="4:4" x14ac:dyDescent="0.45">
      <c r="D4121" s="47"/>
    </row>
    <row r="4122" spans="4:4" x14ac:dyDescent="0.45">
      <c r="D4122" s="47"/>
    </row>
    <row r="4123" spans="4:4" x14ac:dyDescent="0.45">
      <c r="D4123" s="47"/>
    </row>
    <row r="4124" spans="4:4" x14ac:dyDescent="0.45">
      <c r="D4124" s="47"/>
    </row>
    <row r="4125" spans="4:4" x14ac:dyDescent="0.45">
      <c r="D4125" s="47"/>
    </row>
    <row r="4126" spans="4:4" x14ac:dyDescent="0.45">
      <c r="D4126" s="47"/>
    </row>
    <row r="4127" spans="4:4" x14ac:dyDescent="0.45">
      <c r="D4127" s="47"/>
    </row>
    <row r="4128" spans="4:4" x14ac:dyDescent="0.45">
      <c r="D4128" s="47"/>
    </row>
    <row r="4129" spans="4:4" x14ac:dyDescent="0.45">
      <c r="D4129" s="47"/>
    </row>
    <row r="4130" spans="4:4" x14ac:dyDescent="0.45">
      <c r="D4130" s="47"/>
    </row>
    <row r="4131" spans="4:4" x14ac:dyDescent="0.45">
      <c r="D4131" s="47"/>
    </row>
    <row r="4132" spans="4:4" x14ac:dyDescent="0.45">
      <c r="D4132" s="47"/>
    </row>
    <row r="4133" spans="4:4" x14ac:dyDescent="0.45">
      <c r="D4133" s="47"/>
    </row>
    <row r="4134" spans="4:4" x14ac:dyDescent="0.45">
      <c r="D4134" s="47"/>
    </row>
    <row r="4135" spans="4:4" x14ac:dyDescent="0.45">
      <c r="D4135" s="47"/>
    </row>
    <row r="4136" spans="4:4" x14ac:dyDescent="0.45">
      <c r="D4136" s="47"/>
    </row>
    <row r="4137" spans="4:4" x14ac:dyDescent="0.45">
      <c r="D4137" s="47"/>
    </row>
    <row r="4138" spans="4:4" x14ac:dyDescent="0.45">
      <c r="D4138" s="47"/>
    </row>
    <row r="4139" spans="4:4" x14ac:dyDescent="0.45">
      <c r="D4139" s="47"/>
    </row>
    <row r="4140" spans="4:4" x14ac:dyDescent="0.45">
      <c r="D4140" s="47"/>
    </row>
    <row r="4141" spans="4:4" x14ac:dyDescent="0.45">
      <c r="D4141" s="47"/>
    </row>
    <row r="4142" spans="4:4" x14ac:dyDescent="0.45">
      <c r="D4142" s="47"/>
    </row>
    <row r="4143" spans="4:4" x14ac:dyDescent="0.45">
      <c r="D4143" s="47"/>
    </row>
    <row r="4144" spans="4:4" x14ac:dyDescent="0.45">
      <c r="D4144" s="47"/>
    </row>
    <row r="4145" spans="4:4" x14ac:dyDescent="0.45">
      <c r="D4145" s="47"/>
    </row>
    <row r="4146" spans="4:4" x14ac:dyDescent="0.45">
      <c r="D4146" s="47"/>
    </row>
    <row r="4147" spans="4:4" x14ac:dyDescent="0.45">
      <c r="D4147" s="47"/>
    </row>
    <row r="4148" spans="4:4" x14ac:dyDescent="0.45">
      <c r="D4148" s="47"/>
    </row>
    <row r="4149" spans="4:4" x14ac:dyDescent="0.45">
      <c r="D4149" s="47"/>
    </row>
    <row r="4150" spans="4:4" x14ac:dyDescent="0.45">
      <c r="D4150" s="47"/>
    </row>
    <row r="4151" spans="4:4" x14ac:dyDescent="0.45">
      <c r="D4151" s="47"/>
    </row>
    <row r="4152" spans="4:4" x14ac:dyDescent="0.45">
      <c r="D4152" s="47"/>
    </row>
    <row r="4153" spans="4:4" x14ac:dyDescent="0.45">
      <c r="D4153" s="47"/>
    </row>
    <row r="4154" spans="4:4" x14ac:dyDescent="0.45">
      <c r="D4154" s="47"/>
    </row>
    <row r="4155" spans="4:4" x14ac:dyDescent="0.45">
      <c r="D4155" s="47"/>
    </row>
    <row r="4156" spans="4:4" x14ac:dyDescent="0.45">
      <c r="D4156" s="47"/>
    </row>
    <row r="4157" spans="4:4" x14ac:dyDescent="0.45">
      <c r="D4157" s="47"/>
    </row>
    <row r="4158" spans="4:4" x14ac:dyDescent="0.45">
      <c r="D4158" s="47"/>
    </row>
    <row r="4159" spans="4:4" x14ac:dyDescent="0.45">
      <c r="D4159" s="47"/>
    </row>
    <row r="4160" spans="4:4" x14ac:dyDescent="0.45">
      <c r="D4160" s="47"/>
    </row>
    <row r="4161" spans="4:4" x14ac:dyDescent="0.45">
      <c r="D4161" s="47"/>
    </row>
    <row r="4162" spans="4:4" x14ac:dyDescent="0.45">
      <c r="D4162" s="47"/>
    </row>
    <row r="4163" spans="4:4" x14ac:dyDescent="0.45">
      <c r="D4163" s="47"/>
    </row>
    <row r="4164" spans="4:4" x14ac:dyDescent="0.45">
      <c r="D4164" s="47"/>
    </row>
    <row r="4165" spans="4:4" x14ac:dyDescent="0.45">
      <c r="D4165" s="47"/>
    </row>
    <row r="4166" spans="4:4" x14ac:dyDescent="0.45">
      <c r="D4166" s="47"/>
    </row>
    <row r="4167" spans="4:4" x14ac:dyDescent="0.45">
      <c r="D4167" s="47"/>
    </row>
    <row r="4168" spans="4:4" x14ac:dyDescent="0.45">
      <c r="D4168" s="47"/>
    </row>
    <row r="4169" spans="4:4" x14ac:dyDescent="0.45">
      <c r="D4169" s="47"/>
    </row>
    <row r="4170" spans="4:4" x14ac:dyDescent="0.45">
      <c r="D4170" s="47"/>
    </row>
    <row r="4171" spans="4:4" x14ac:dyDescent="0.45">
      <c r="D4171" s="47"/>
    </row>
    <row r="4172" spans="4:4" x14ac:dyDescent="0.45">
      <c r="D4172" s="47"/>
    </row>
    <row r="4173" spans="4:4" x14ac:dyDescent="0.45">
      <c r="D4173" s="47"/>
    </row>
    <row r="4174" spans="4:4" x14ac:dyDescent="0.45">
      <c r="D4174" s="47"/>
    </row>
    <row r="4175" spans="4:4" x14ac:dyDescent="0.45">
      <c r="D4175" s="47"/>
    </row>
    <row r="4176" spans="4:4" x14ac:dyDescent="0.45">
      <c r="D4176" s="47"/>
    </row>
    <row r="4177" spans="4:4" x14ac:dyDescent="0.45">
      <c r="D4177" s="47"/>
    </row>
    <row r="4178" spans="4:4" x14ac:dyDescent="0.45">
      <c r="D4178" s="47"/>
    </row>
    <row r="4179" spans="4:4" x14ac:dyDescent="0.45">
      <c r="D4179" s="47"/>
    </row>
    <row r="4180" spans="4:4" x14ac:dyDescent="0.45">
      <c r="D4180" s="47"/>
    </row>
    <row r="4181" spans="4:4" x14ac:dyDescent="0.45">
      <c r="D4181" s="47"/>
    </row>
    <row r="4182" spans="4:4" x14ac:dyDescent="0.45">
      <c r="D4182" s="47"/>
    </row>
    <row r="4183" spans="4:4" x14ac:dyDescent="0.45">
      <c r="D4183" s="47"/>
    </row>
    <row r="4184" spans="4:4" x14ac:dyDescent="0.45">
      <c r="D4184" s="47"/>
    </row>
    <row r="4185" spans="4:4" x14ac:dyDescent="0.45">
      <c r="D4185" s="47"/>
    </row>
    <row r="4186" spans="4:4" x14ac:dyDescent="0.45">
      <c r="D4186" s="47"/>
    </row>
    <row r="4187" spans="4:4" x14ac:dyDescent="0.45">
      <c r="D4187" s="47"/>
    </row>
    <row r="4188" spans="4:4" x14ac:dyDescent="0.45">
      <c r="D4188" s="47"/>
    </row>
    <row r="4189" spans="4:4" x14ac:dyDescent="0.45">
      <c r="D4189" s="47"/>
    </row>
    <row r="4190" spans="4:4" x14ac:dyDescent="0.45">
      <c r="D4190" s="47"/>
    </row>
    <row r="4191" spans="4:4" x14ac:dyDescent="0.45">
      <c r="D4191" s="47"/>
    </row>
    <row r="4192" spans="4:4" x14ac:dyDescent="0.45">
      <c r="D4192" s="47"/>
    </row>
    <row r="4193" spans="4:4" x14ac:dyDescent="0.45">
      <c r="D4193" s="47"/>
    </row>
    <row r="4194" spans="4:4" x14ac:dyDescent="0.45">
      <c r="D4194" s="47"/>
    </row>
    <row r="4195" spans="4:4" x14ac:dyDescent="0.45">
      <c r="D4195" s="47"/>
    </row>
    <row r="4196" spans="4:4" x14ac:dyDescent="0.45">
      <c r="D4196" s="47"/>
    </row>
    <row r="4197" spans="4:4" x14ac:dyDescent="0.45">
      <c r="D4197" s="47"/>
    </row>
    <row r="4198" spans="4:4" x14ac:dyDescent="0.45">
      <c r="D4198" s="47"/>
    </row>
    <row r="4199" spans="4:4" x14ac:dyDescent="0.45">
      <c r="D4199" s="47"/>
    </row>
    <row r="4200" spans="4:4" x14ac:dyDescent="0.45">
      <c r="D4200" s="47"/>
    </row>
    <row r="4201" spans="4:4" x14ac:dyDescent="0.45">
      <c r="D4201" s="47"/>
    </row>
    <row r="4202" spans="4:4" x14ac:dyDescent="0.45">
      <c r="D4202" s="47"/>
    </row>
    <row r="4203" spans="4:4" x14ac:dyDescent="0.45">
      <c r="D4203" s="47"/>
    </row>
    <row r="4204" spans="4:4" x14ac:dyDescent="0.45">
      <c r="D4204" s="47"/>
    </row>
    <row r="4205" spans="4:4" x14ac:dyDescent="0.45">
      <c r="D4205" s="47"/>
    </row>
    <row r="4206" spans="4:4" x14ac:dyDescent="0.45">
      <c r="D4206" s="47"/>
    </row>
    <row r="4207" spans="4:4" x14ac:dyDescent="0.45">
      <c r="D4207" s="47"/>
    </row>
    <row r="4208" spans="4:4" x14ac:dyDescent="0.45">
      <c r="D4208" s="47"/>
    </row>
    <row r="4209" spans="4:4" x14ac:dyDescent="0.45">
      <c r="D4209" s="47"/>
    </row>
    <row r="4210" spans="4:4" x14ac:dyDescent="0.45">
      <c r="D4210" s="47"/>
    </row>
    <row r="4211" spans="4:4" x14ac:dyDescent="0.45">
      <c r="D4211" s="47"/>
    </row>
    <row r="4212" spans="4:4" x14ac:dyDescent="0.45">
      <c r="D4212" s="47"/>
    </row>
    <row r="4213" spans="4:4" x14ac:dyDescent="0.45">
      <c r="D4213" s="47"/>
    </row>
    <row r="4214" spans="4:4" x14ac:dyDescent="0.45">
      <c r="D4214" s="47"/>
    </row>
    <row r="4215" spans="4:4" x14ac:dyDescent="0.45">
      <c r="D4215" s="47"/>
    </row>
    <row r="4216" spans="4:4" x14ac:dyDescent="0.45">
      <c r="D4216" s="47"/>
    </row>
    <row r="4217" spans="4:4" x14ac:dyDescent="0.45">
      <c r="D4217" s="47"/>
    </row>
    <row r="4218" spans="4:4" x14ac:dyDescent="0.45">
      <c r="D4218" s="47"/>
    </row>
    <row r="4219" spans="4:4" x14ac:dyDescent="0.45">
      <c r="D4219" s="47"/>
    </row>
    <row r="4220" spans="4:4" x14ac:dyDescent="0.45">
      <c r="D4220" s="47"/>
    </row>
    <row r="4221" spans="4:4" x14ac:dyDescent="0.45">
      <c r="D4221" s="47"/>
    </row>
    <row r="4222" spans="4:4" x14ac:dyDescent="0.45">
      <c r="D4222" s="47"/>
    </row>
    <row r="4223" spans="4:4" x14ac:dyDescent="0.45">
      <c r="D4223" s="47"/>
    </row>
    <row r="4224" spans="4:4" x14ac:dyDescent="0.45">
      <c r="D4224" s="47"/>
    </row>
    <row r="4225" spans="4:4" x14ac:dyDescent="0.45">
      <c r="D4225" s="47"/>
    </row>
    <row r="4226" spans="4:4" x14ac:dyDescent="0.45">
      <c r="D4226" s="47"/>
    </row>
    <row r="4227" spans="4:4" x14ac:dyDescent="0.45">
      <c r="D4227" s="47"/>
    </row>
    <row r="4228" spans="4:4" x14ac:dyDescent="0.45">
      <c r="D4228" s="47"/>
    </row>
    <row r="4229" spans="4:4" x14ac:dyDescent="0.45">
      <c r="D4229" s="47"/>
    </row>
    <row r="4230" spans="4:4" x14ac:dyDescent="0.45">
      <c r="D4230" s="47"/>
    </row>
    <row r="4231" spans="4:4" x14ac:dyDescent="0.45">
      <c r="D4231" s="47"/>
    </row>
    <row r="4232" spans="4:4" x14ac:dyDescent="0.45">
      <c r="D4232" s="47"/>
    </row>
    <row r="4233" spans="4:4" x14ac:dyDescent="0.45">
      <c r="D4233" s="47"/>
    </row>
    <row r="4234" spans="4:4" x14ac:dyDescent="0.45">
      <c r="D4234" s="47"/>
    </row>
    <row r="4235" spans="4:4" x14ac:dyDescent="0.45">
      <c r="D4235" s="47"/>
    </row>
    <row r="4236" spans="4:4" x14ac:dyDescent="0.45">
      <c r="D4236" s="47"/>
    </row>
    <row r="4237" spans="4:4" x14ac:dyDescent="0.45">
      <c r="D4237" s="47"/>
    </row>
    <row r="4238" spans="4:4" x14ac:dyDescent="0.45">
      <c r="D4238" s="47"/>
    </row>
    <row r="4239" spans="4:4" x14ac:dyDescent="0.45">
      <c r="D4239" s="47"/>
    </row>
    <row r="4240" spans="4:4" x14ac:dyDescent="0.45">
      <c r="D4240" s="47"/>
    </row>
    <row r="4241" spans="4:4" x14ac:dyDescent="0.45">
      <c r="D4241" s="47"/>
    </row>
    <row r="4242" spans="4:4" x14ac:dyDescent="0.45">
      <c r="D4242" s="47"/>
    </row>
    <row r="4243" spans="4:4" x14ac:dyDescent="0.45">
      <c r="D4243" s="47"/>
    </row>
    <row r="4244" spans="4:4" x14ac:dyDescent="0.45">
      <c r="D4244" s="47"/>
    </row>
    <row r="4245" spans="4:4" x14ac:dyDescent="0.45">
      <c r="D4245" s="47"/>
    </row>
    <row r="4246" spans="4:4" x14ac:dyDescent="0.45">
      <c r="D4246" s="47"/>
    </row>
    <row r="4247" spans="4:4" x14ac:dyDescent="0.45">
      <c r="D4247" s="47"/>
    </row>
    <row r="4248" spans="4:4" x14ac:dyDescent="0.45">
      <c r="D4248" s="47"/>
    </row>
    <row r="4249" spans="4:4" x14ac:dyDescent="0.45">
      <c r="D4249" s="47"/>
    </row>
    <row r="4250" spans="4:4" x14ac:dyDescent="0.45">
      <c r="D4250" s="47"/>
    </row>
    <row r="4251" spans="4:4" x14ac:dyDescent="0.45">
      <c r="D4251" s="47"/>
    </row>
    <row r="4252" spans="4:4" x14ac:dyDescent="0.45">
      <c r="D4252" s="47"/>
    </row>
    <row r="4253" spans="4:4" x14ac:dyDescent="0.45">
      <c r="D4253" s="47"/>
    </row>
    <row r="4254" spans="4:4" x14ac:dyDescent="0.45">
      <c r="D4254" s="47"/>
    </row>
    <row r="4255" spans="4:4" x14ac:dyDescent="0.45">
      <c r="D4255" s="47"/>
    </row>
    <row r="4256" spans="4:4" x14ac:dyDescent="0.45">
      <c r="D4256" s="47"/>
    </row>
    <row r="4257" spans="4:4" x14ac:dyDescent="0.45">
      <c r="D4257" s="47"/>
    </row>
    <row r="4258" spans="4:4" x14ac:dyDescent="0.45">
      <c r="D4258" s="47"/>
    </row>
    <row r="4259" spans="4:4" x14ac:dyDescent="0.45">
      <c r="D4259" s="47"/>
    </row>
    <row r="4260" spans="4:4" x14ac:dyDescent="0.45">
      <c r="D4260" s="47"/>
    </row>
    <row r="4261" spans="4:4" x14ac:dyDescent="0.45">
      <c r="D4261" s="47"/>
    </row>
    <row r="4262" spans="4:4" x14ac:dyDescent="0.45">
      <c r="D4262" s="47"/>
    </row>
    <row r="4263" spans="4:4" x14ac:dyDescent="0.45">
      <c r="D4263" s="47"/>
    </row>
    <row r="4264" spans="4:4" x14ac:dyDescent="0.45">
      <c r="D4264" s="47"/>
    </row>
    <row r="4265" spans="4:4" x14ac:dyDescent="0.45">
      <c r="D4265" s="47"/>
    </row>
    <row r="4266" spans="4:4" x14ac:dyDescent="0.45">
      <c r="D4266" s="47"/>
    </row>
    <row r="4267" spans="4:4" x14ac:dyDescent="0.45">
      <c r="D4267" s="47"/>
    </row>
    <row r="4268" spans="4:4" x14ac:dyDescent="0.45">
      <c r="D4268" s="47"/>
    </row>
    <row r="4269" spans="4:4" x14ac:dyDescent="0.45">
      <c r="D4269" s="47"/>
    </row>
    <row r="4270" spans="4:4" x14ac:dyDescent="0.45">
      <c r="D4270" s="47"/>
    </row>
    <row r="4271" spans="4:4" x14ac:dyDescent="0.45">
      <c r="D4271" s="47"/>
    </row>
    <row r="4272" spans="4:4" x14ac:dyDescent="0.45">
      <c r="D4272" s="47"/>
    </row>
    <row r="4273" spans="4:4" x14ac:dyDescent="0.45">
      <c r="D4273" s="47"/>
    </row>
    <row r="4274" spans="4:4" x14ac:dyDescent="0.45">
      <c r="D4274" s="47"/>
    </row>
    <row r="4275" spans="4:4" x14ac:dyDescent="0.45">
      <c r="D4275" s="47"/>
    </row>
    <row r="4276" spans="4:4" x14ac:dyDescent="0.45">
      <c r="D4276" s="47"/>
    </row>
    <row r="4277" spans="4:4" x14ac:dyDescent="0.45">
      <c r="D4277" s="47"/>
    </row>
    <row r="4278" spans="4:4" x14ac:dyDescent="0.45">
      <c r="D4278" s="47"/>
    </row>
    <row r="4279" spans="4:4" x14ac:dyDescent="0.45">
      <c r="D4279" s="47"/>
    </row>
    <row r="4280" spans="4:4" x14ac:dyDescent="0.45">
      <c r="D4280" s="47"/>
    </row>
    <row r="4281" spans="4:4" x14ac:dyDescent="0.45">
      <c r="D4281" s="47"/>
    </row>
    <row r="4282" spans="4:4" x14ac:dyDescent="0.45">
      <c r="D4282" s="47"/>
    </row>
    <row r="4283" spans="4:4" x14ac:dyDescent="0.45">
      <c r="D4283" s="47"/>
    </row>
    <row r="4284" spans="4:4" x14ac:dyDescent="0.45">
      <c r="D4284" s="47"/>
    </row>
    <row r="4285" spans="4:4" x14ac:dyDescent="0.45">
      <c r="D4285" s="47"/>
    </row>
    <row r="4286" spans="4:4" x14ac:dyDescent="0.45">
      <c r="D4286" s="47"/>
    </row>
    <row r="4287" spans="4:4" x14ac:dyDescent="0.45">
      <c r="D4287" s="47"/>
    </row>
    <row r="4288" spans="4:4" x14ac:dyDescent="0.45">
      <c r="D4288" s="47"/>
    </row>
    <row r="4289" spans="4:4" x14ac:dyDescent="0.45">
      <c r="D4289" s="47"/>
    </row>
    <row r="4290" spans="4:4" x14ac:dyDescent="0.45">
      <c r="D4290" s="47"/>
    </row>
    <row r="4291" spans="4:4" x14ac:dyDescent="0.45">
      <c r="D4291" s="47"/>
    </row>
    <row r="4292" spans="4:4" x14ac:dyDescent="0.45">
      <c r="D4292" s="47"/>
    </row>
    <row r="4293" spans="4:4" x14ac:dyDescent="0.45">
      <c r="D4293" s="47"/>
    </row>
    <row r="4294" spans="4:4" x14ac:dyDescent="0.45">
      <c r="D4294" s="47"/>
    </row>
    <row r="4295" spans="4:4" x14ac:dyDescent="0.45">
      <c r="D4295" s="47"/>
    </row>
    <row r="4296" spans="4:4" x14ac:dyDescent="0.45">
      <c r="D4296" s="47"/>
    </row>
    <row r="4297" spans="4:4" x14ac:dyDescent="0.45">
      <c r="D4297" s="47"/>
    </row>
    <row r="4298" spans="4:4" x14ac:dyDescent="0.45">
      <c r="D4298" s="47"/>
    </row>
    <row r="4299" spans="4:4" x14ac:dyDescent="0.45">
      <c r="D4299" s="47"/>
    </row>
    <row r="4300" spans="4:4" x14ac:dyDescent="0.45">
      <c r="D4300" s="47"/>
    </row>
    <row r="4301" spans="4:4" x14ac:dyDescent="0.45">
      <c r="D4301" s="47"/>
    </row>
    <row r="4302" spans="4:4" x14ac:dyDescent="0.45">
      <c r="D4302" s="47"/>
    </row>
    <row r="4303" spans="4:4" x14ac:dyDescent="0.45">
      <c r="D4303" s="47"/>
    </row>
    <row r="4304" spans="4:4" x14ac:dyDescent="0.45">
      <c r="D4304" s="47"/>
    </row>
    <row r="4305" spans="4:4" x14ac:dyDescent="0.45">
      <c r="D4305" s="47"/>
    </row>
    <row r="4306" spans="4:4" x14ac:dyDescent="0.45">
      <c r="D4306" s="47"/>
    </row>
    <row r="4307" spans="4:4" x14ac:dyDescent="0.45">
      <c r="D4307" s="47"/>
    </row>
    <row r="4308" spans="4:4" x14ac:dyDescent="0.45">
      <c r="D4308" s="47"/>
    </row>
    <row r="4309" spans="4:4" x14ac:dyDescent="0.45">
      <c r="D4309" s="47"/>
    </row>
    <row r="4310" spans="4:4" x14ac:dyDescent="0.45">
      <c r="D4310" s="47"/>
    </row>
    <row r="4311" spans="4:4" x14ac:dyDescent="0.45">
      <c r="D4311" s="47"/>
    </row>
    <row r="4312" spans="4:4" x14ac:dyDescent="0.45">
      <c r="D4312" s="47"/>
    </row>
    <row r="4313" spans="4:4" x14ac:dyDescent="0.45">
      <c r="D4313" s="47"/>
    </row>
    <row r="4314" spans="4:4" x14ac:dyDescent="0.45">
      <c r="D4314" s="47"/>
    </row>
    <row r="4315" spans="4:4" x14ac:dyDescent="0.45">
      <c r="D4315" s="47"/>
    </row>
    <row r="4316" spans="4:4" x14ac:dyDescent="0.45">
      <c r="D4316" s="47"/>
    </row>
    <row r="4317" spans="4:4" x14ac:dyDescent="0.45">
      <c r="D4317" s="47"/>
    </row>
    <row r="4318" spans="4:4" x14ac:dyDescent="0.45">
      <c r="D4318" s="47"/>
    </row>
    <row r="4319" spans="4:4" x14ac:dyDescent="0.45">
      <c r="D4319" s="47"/>
    </row>
    <row r="4320" spans="4:4" x14ac:dyDescent="0.45">
      <c r="D4320" s="47"/>
    </row>
    <row r="4321" spans="4:4" x14ac:dyDescent="0.45">
      <c r="D4321" s="47"/>
    </row>
    <row r="4322" spans="4:4" x14ac:dyDescent="0.45">
      <c r="D4322" s="47"/>
    </row>
    <row r="4323" spans="4:4" x14ac:dyDescent="0.45">
      <c r="D4323" s="47"/>
    </row>
    <row r="4324" spans="4:4" x14ac:dyDescent="0.45">
      <c r="D4324" s="47"/>
    </row>
    <row r="4325" spans="4:4" x14ac:dyDescent="0.45">
      <c r="D4325" s="47"/>
    </row>
    <row r="4326" spans="4:4" x14ac:dyDescent="0.45">
      <c r="D4326" s="47"/>
    </row>
    <row r="4327" spans="4:4" x14ac:dyDescent="0.45">
      <c r="D4327" s="47"/>
    </row>
    <row r="4328" spans="4:4" x14ac:dyDescent="0.45">
      <c r="D4328" s="47"/>
    </row>
    <row r="4329" spans="4:4" x14ac:dyDescent="0.45">
      <c r="D4329" s="47"/>
    </row>
    <row r="4330" spans="4:4" x14ac:dyDescent="0.45">
      <c r="D4330" s="47"/>
    </row>
    <row r="4331" spans="4:4" x14ac:dyDescent="0.45">
      <c r="D4331" s="47"/>
    </row>
    <row r="4332" spans="4:4" x14ac:dyDescent="0.45">
      <c r="D4332" s="47"/>
    </row>
    <row r="4333" spans="4:4" x14ac:dyDescent="0.45">
      <c r="D4333" s="47"/>
    </row>
    <row r="4334" spans="4:4" x14ac:dyDescent="0.45">
      <c r="D4334" s="47"/>
    </row>
    <row r="4335" spans="4:4" x14ac:dyDescent="0.45">
      <c r="D4335" s="47"/>
    </row>
    <row r="4336" spans="4:4" x14ac:dyDescent="0.45">
      <c r="D4336" s="47"/>
    </row>
    <row r="4337" spans="4:4" x14ac:dyDescent="0.45">
      <c r="D4337" s="47"/>
    </row>
    <row r="4338" spans="4:4" x14ac:dyDescent="0.45">
      <c r="D4338" s="47"/>
    </row>
    <row r="4339" spans="4:4" x14ac:dyDescent="0.45">
      <c r="D4339" s="47"/>
    </row>
    <row r="4340" spans="4:4" x14ac:dyDescent="0.45">
      <c r="D4340" s="47"/>
    </row>
    <row r="4341" spans="4:4" x14ac:dyDescent="0.45">
      <c r="D4341" s="47"/>
    </row>
    <row r="4342" spans="4:4" x14ac:dyDescent="0.45">
      <c r="D4342" s="47"/>
    </row>
    <row r="4343" spans="4:4" x14ac:dyDescent="0.45">
      <c r="D4343" s="47"/>
    </row>
    <row r="4344" spans="4:4" x14ac:dyDescent="0.45">
      <c r="D4344" s="47"/>
    </row>
    <row r="4345" spans="4:4" x14ac:dyDescent="0.45">
      <c r="D4345" s="47"/>
    </row>
    <row r="4346" spans="4:4" x14ac:dyDescent="0.45">
      <c r="D4346" s="47"/>
    </row>
    <row r="4347" spans="4:4" x14ac:dyDescent="0.45">
      <c r="D4347" s="47"/>
    </row>
    <row r="4348" spans="4:4" x14ac:dyDescent="0.45">
      <c r="D4348" s="47"/>
    </row>
    <row r="4349" spans="4:4" x14ac:dyDescent="0.45">
      <c r="D4349" s="47"/>
    </row>
    <row r="4350" spans="4:4" x14ac:dyDescent="0.45">
      <c r="D4350" s="47"/>
    </row>
    <row r="4351" spans="4:4" x14ac:dyDescent="0.45">
      <c r="D4351" s="47"/>
    </row>
    <row r="4352" spans="4:4" x14ac:dyDescent="0.45">
      <c r="D4352" s="47"/>
    </row>
    <row r="4353" spans="4:4" x14ac:dyDescent="0.45">
      <c r="D4353" s="47"/>
    </row>
    <row r="4354" spans="4:4" x14ac:dyDescent="0.45">
      <c r="D4354" s="47"/>
    </row>
    <row r="4355" spans="4:4" x14ac:dyDescent="0.45">
      <c r="D4355" s="47"/>
    </row>
    <row r="4356" spans="4:4" x14ac:dyDescent="0.45">
      <c r="D4356" s="47"/>
    </row>
    <row r="4357" spans="4:4" x14ac:dyDescent="0.45">
      <c r="D4357" s="47"/>
    </row>
    <row r="4358" spans="4:4" x14ac:dyDescent="0.45">
      <c r="D4358" s="47"/>
    </row>
    <row r="4359" spans="4:4" x14ac:dyDescent="0.45">
      <c r="D4359" s="47"/>
    </row>
    <row r="4360" spans="4:4" x14ac:dyDescent="0.45">
      <c r="D4360" s="47"/>
    </row>
    <row r="4361" spans="4:4" x14ac:dyDescent="0.45">
      <c r="D4361" s="47"/>
    </row>
    <row r="4362" spans="4:4" x14ac:dyDescent="0.45">
      <c r="D4362" s="47"/>
    </row>
    <row r="4363" spans="4:4" x14ac:dyDescent="0.45">
      <c r="D4363" s="47"/>
    </row>
    <row r="4364" spans="4:4" x14ac:dyDescent="0.45">
      <c r="D4364" s="47"/>
    </row>
    <row r="4365" spans="4:4" x14ac:dyDescent="0.45">
      <c r="D4365" s="47"/>
    </row>
    <row r="4366" spans="4:4" x14ac:dyDescent="0.45">
      <c r="D4366" s="47"/>
    </row>
    <row r="4367" spans="4:4" x14ac:dyDescent="0.45">
      <c r="D4367" s="47"/>
    </row>
    <row r="4368" spans="4:4" x14ac:dyDescent="0.45">
      <c r="D4368" s="47"/>
    </row>
    <row r="4369" spans="4:4" x14ac:dyDescent="0.45">
      <c r="D4369" s="47"/>
    </row>
    <row r="4370" spans="4:4" x14ac:dyDescent="0.45">
      <c r="D4370" s="47"/>
    </row>
    <row r="4371" spans="4:4" x14ac:dyDescent="0.45">
      <c r="D4371" s="47"/>
    </row>
    <row r="4372" spans="4:4" x14ac:dyDescent="0.45">
      <c r="D4372" s="47"/>
    </row>
    <row r="4373" spans="4:4" x14ac:dyDescent="0.45">
      <c r="D4373" s="47"/>
    </row>
    <row r="4374" spans="4:4" x14ac:dyDescent="0.45">
      <c r="D4374" s="47"/>
    </row>
    <row r="4375" spans="4:4" x14ac:dyDescent="0.45">
      <c r="D4375" s="47"/>
    </row>
    <row r="4376" spans="4:4" x14ac:dyDescent="0.45">
      <c r="D4376" s="47"/>
    </row>
    <row r="4377" spans="4:4" x14ac:dyDescent="0.45">
      <c r="D4377" s="47"/>
    </row>
    <row r="4378" spans="4:4" x14ac:dyDescent="0.45">
      <c r="D4378" s="47"/>
    </row>
    <row r="4379" spans="4:4" x14ac:dyDescent="0.45">
      <c r="D4379" s="47"/>
    </row>
    <row r="4380" spans="4:4" x14ac:dyDescent="0.45">
      <c r="D4380" s="47"/>
    </row>
    <row r="4381" spans="4:4" x14ac:dyDescent="0.45">
      <c r="D4381" s="47"/>
    </row>
    <row r="4382" spans="4:4" x14ac:dyDescent="0.45">
      <c r="D4382" s="47"/>
    </row>
    <row r="4383" spans="4:4" x14ac:dyDescent="0.45">
      <c r="D4383" s="47"/>
    </row>
    <row r="4384" spans="4:4" x14ac:dyDescent="0.45">
      <c r="D4384" s="47"/>
    </row>
    <row r="4385" spans="4:4" x14ac:dyDescent="0.45">
      <c r="D4385" s="47"/>
    </row>
    <row r="4386" spans="4:4" x14ac:dyDescent="0.45">
      <c r="D4386" s="47"/>
    </row>
    <row r="4387" spans="4:4" x14ac:dyDescent="0.45">
      <c r="D4387" s="47"/>
    </row>
    <row r="4388" spans="4:4" x14ac:dyDescent="0.45">
      <c r="D4388" s="47"/>
    </row>
    <row r="4389" spans="4:4" x14ac:dyDescent="0.45">
      <c r="D4389" s="47"/>
    </row>
    <row r="4390" spans="4:4" x14ac:dyDescent="0.45">
      <c r="D4390" s="47"/>
    </row>
    <row r="4391" spans="4:4" x14ac:dyDescent="0.45">
      <c r="D4391" s="47"/>
    </row>
    <row r="4392" spans="4:4" x14ac:dyDescent="0.45">
      <c r="D4392" s="47"/>
    </row>
    <row r="4393" spans="4:4" x14ac:dyDescent="0.45">
      <c r="D4393" s="47"/>
    </row>
    <row r="4394" spans="4:4" x14ac:dyDescent="0.45">
      <c r="D4394" s="47"/>
    </row>
    <row r="4395" spans="4:4" x14ac:dyDescent="0.45">
      <c r="D4395" s="47"/>
    </row>
    <row r="4396" spans="4:4" x14ac:dyDescent="0.45">
      <c r="D4396" s="47"/>
    </row>
    <row r="4397" spans="4:4" x14ac:dyDescent="0.45">
      <c r="D4397" s="47"/>
    </row>
    <row r="4398" spans="4:4" x14ac:dyDescent="0.45">
      <c r="D4398" s="47"/>
    </row>
    <row r="4399" spans="4:4" x14ac:dyDescent="0.45">
      <c r="D4399" s="47"/>
    </row>
    <row r="4400" spans="4:4" x14ac:dyDescent="0.45">
      <c r="D4400" s="47"/>
    </row>
    <row r="4401" spans="4:4" x14ac:dyDescent="0.45">
      <c r="D4401" s="47"/>
    </row>
    <row r="4402" spans="4:4" x14ac:dyDescent="0.45">
      <c r="D4402" s="47"/>
    </row>
    <row r="4403" spans="4:4" x14ac:dyDescent="0.45">
      <c r="D4403" s="47"/>
    </row>
    <row r="4404" spans="4:4" x14ac:dyDescent="0.45">
      <c r="D4404" s="47"/>
    </row>
    <row r="4405" spans="4:4" x14ac:dyDescent="0.45">
      <c r="D4405" s="47"/>
    </row>
    <row r="4406" spans="4:4" x14ac:dyDescent="0.45">
      <c r="D4406" s="47"/>
    </row>
    <row r="4407" spans="4:4" x14ac:dyDescent="0.45">
      <c r="D4407" s="47"/>
    </row>
    <row r="4408" spans="4:4" x14ac:dyDescent="0.45">
      <c r="D4408" s="47"/>
    </row>
    <row r="4409" spans="4:4" x14ac:dyDescent="0.45">
      <c r="D4409" s="47"/>
    </row>
    <row r="4410" spans="4:4" x14ac:dyDescent="0.45">
      <c r="D4410" s="47"/>
    </row>
    <row r="4411" spans="4:4" x14ac:dyDescent="0.45">
      <c r="D4411" s="47"/>
    </row>
    <row r="4412" spans="4:4" x14ac:dyDescent="0.45">
      <c r="D4412" s="47"/>
    </row>
    <row r="4413" spans="4:4" x14ac:dyDescent="0.45">
      <c r="D4413" s="47"/>
    </row>
    <row r="4414" spans="4:4" x14ac:dyDescent="0.45">
      <c r="D4414" s="47"/>
    </row>
    <row r="4415" spans="4:4" x14ac:dyDescent="0.45">
      <c r="D4415" s="47"/>
    </row>
    <row r="4416" spans="4:4" x14ac:dyDescent="0.45">
      <c r="D4416" s="47"/>
    </row>
    <row r="4417" spans="4:4" x14ac:dyDescent="0.45">
      <c r="D4417" s="47"/>
    </row>
    <row r="4418" spans="4:4" x14ac:dyDescent="0.45">
      <c r="D4418" s="47"/>
    </row>
    <row r="4419" spans="4:4" x14ac:dyDescent="0.45">
      <c r="D4419" s="47"/>
    </row>
    <row r="4420" spans="4:4" x14ac:dyDescent="0.45">
      <c r="D4420" s="47"/>
    </row>
    <row r="4421" spans="4:4" x14ac:dyDescent="0.45">
      <c r="D4421" s="47"/>
    </row>
    <row r="4422" spans="4:4" x14ac:dyDescent="0.45">
      <c r="D4422" s="47"/>
    </row>
    <row r="4423" spans="4:4" x14ac:dyDescent="0.45">
      <c r="D4423" s="47"/>
    </row>
    <row r="4424" spans="4:4" x14ac:dyDescent="0.45">
      <c r="D4424" s="47"/>
    </row>
    <row r="4425" spans="4:4" x14ac:dyDescent="0.45">
      <c r="D4425" s="47"/>
    </row>
    <row r="4426" spans="4:4" x14ac:dyDescent="0.45">
      <c r="D4426" s="47"/>
    </row>
    <row r="4427" spans="4:4" x14ac:dyDescent="0.45">
      <c r="D4427" s="47"/>
    </row>
    <row r="4428" spans="4:4" x14ac:dyDescent="0.45">
      <c r="D4428" s="47"/>
    </row>
    <row r="4429" spans="4:4" x14ac:dyDescent="0.45">
      <c r="D4429" s="47"/>
    </row>
    <row r="4430" spans="4:4" x14ac:dyDescent="0.45">
      <c r="D4430" s="47"/>
    </row>
    <row r="4431" spans="4:4" x14ac:dyDescent="0.45">
      <c r="D4431" s="47"/>
    </row>
    <row r="4432" spans="4:4" x14ac:dyDescent="0.45">
      <c r="D4432" s="47"/>
    </row>
    <row r="4433" spans="4:4" x14ac:dyDescent="0.45">
      <c r="D4433" s="47"/>
    </row>
    <row r="4434" spans="4:4" x14ac:dyDescent="0.45">
      <c r="D4434" s="47"/>
    </row>
    <row r="4435" spans="4:4" x14ac:dyDescent="0.45">
      <c r="D4435" s="47"/>
    </row>
    <row r="4436" spans="4:4" x14ac:dyDescent="0.45">
      <c r="D4436" s="47"/>
    </row>
    <row r="4437" spans="4:4" x14ac:dyDescent="0.45">
      <c r="D4437" s="47"/>
    </row>
    <row r="4438" spans="4:4" x14ac:dyDescent="0.45">
      <c r="D4438" s="47"/>
    </row>
    <row r="4439" spans="4:4" x14ac:dyDescent="0.45">
      <c r="D4439" s="47"/>
    </row>
    <row r="4440" spans="4:4" x14ac:dyDescent="0.45">
      <c r="D4440" s="47"/>
    </row>
    <row r="4441" spans="4:4" x14ac:dyDescent="0.45">
      <c r="D4441" s="47"/>
    </row>
    <row r="4442" spans="4:4" x14ac:dyDescent="0.45">
      <c r="D4442" s="47"/>
    </row>
    <row r="4443" spans="4:4" x14ac:dyDescent="0.45">
      <c r="D4443" s="47"/>
    </row>
    <row r="4444" spans="4:4" x14ac:dyDescent="0.45">
      <c r="D4444" s="47"/>
    </row>
    <row r="4445" spans="4:4" x14ac:dyDescent="0.45">
      <c r="D4445" s="47"/>
    </row>
    <row r="4446" spans="4:4" x14ac:dyDescent="0.45">
      <c r="D4446" s="47"/>
    </row>
    <row r="4447" spans="4:4" x14ac:dyDescent="0.45">
      <c r="D4447" s="47"/>
    </row>
    <row r="4448" spans="4:4" x14ac:dyDescent="0.45">
      <c r="D4448" s="47"/>
    </row>
    <row r="4449" spans="4:4" x14ac:dyDescent="0.45">
      <c r="D4449" s="47"/>
    </row>
    <row r="4450" spans="4:4" x14ac:dyDescent="0.45">
      <c r="D4450" s="47"/>
    </row>
    <row r="4451" spans="4:4" x14ac:dyDescent="0.45">
      <c r="D4451" s="47"/>
    </row>
    <row r="4452" spans="4:4" x14ac:dyDescent="0.45">
      <c r="D4452" s="47"/>
    </row>
    <row r="4453" spans="4:4" x14ac:dyDescent="0.45">
      <c r="D4453" s="47"/>
    </row>
    <row r="4454" spans="4:4" x14ac:dyDescent="0.45">
      <c r="D4454" s="47"/>
    </row>
    <row r="4455" spans="4:4" x14ac:dyDescent="0.45">
      <c r="D4455" s="47"/>
    </row>
    <row r="4456" spans="4:4" x14ac:dyDescent="0.45">
      <c r="D4456" s="47"/>
    </row>
    <row r="4457" spans="4:4" x14ac:dyDescent="0.45">
      <c r="D4457" s="47"/>
    </row>
    <row r="4458" spans="4:4" x14ac:dyDescent="0.45">
      <c r="D4458" s="47"/>
    </row>
    <row r="4459" spans="4:4" x14ac:dyDescent="0.45">
      <c r="D4459" s="47"/>
    </row>
    <row r="4460" spans="4:4" x14ac:dyDescent="0.45">
      <c r="D4460" s="47"/>
    </row>
    <row r="4461" spans="4:4" x14ac:dyDescent="0.45">
      <c r="D4461" s="47"/>
    </row>
    <row r="4462" spans="4:4" x14ac:dyDescent="0.45">
      <c r="D4462" s="47"/>
    </row>
    <row r="4463" spans="4:4" x14ac:dyDescent="0.45">
      <c r="D4463" s="47"/>
    </row>
    <row r="4464" spans="4:4" x14ac:dyDescent="0.45">
      <c r="D4464" s="47"/>
    </row>
    <row r="4465" spans="4:4" x14ac:dyDescent="0.45">
      <c r="D4465" s="47"/>
    </row>
    <row r="4466" spans="4:4" x14ac:dyDescent="0.45">
      <c r="D4466" s="47"/>
    </row>
    <row r="4467" spans="4:4" x14ac:dyDescent="0.45">
      <c r="D4467" s="47"/>
    </row>
    <row r="4468" spans="4:4" x14ac:dyDescent="0.45">
      <c r="D4468" s="47"/>
    </row>
    <row r="4469" spans="4:4" x14ac:dyDescent="0.45">
      <c r="D4469" s="47"/>
    </row>
    <row r="4470" spans="4:4" x14ac:dyDescent="0.45">
      <c r="D4470" s="47"/>
    </row>
    <row r="4471" spans="4:4" x14ac:dyDescent="0.45">
      <c r="D4471" s="47"/>
    </row>
    <row r="4472" spans="4:4" x14ac:dyDescent="0.45">
      <c r="D4472" s="47"/>
    </row>
    <row r="4473" spans="4:4" x14ac:dyDescent="0.45">
      <c r="D4473" s="47"/>
    </row>
    <row r="4474" spans="4:4" x14ac:dyDescent="0.45">
      <c r="D4474" s="47"/>
    </row>
    <row r="4475" spans="4:4" x14ac:dyDescent="0.45">
      <c r="D4475" s="47"/>
    </row>
    <row r="4476" spans="4:4" x14ac:dyDescent="0.45">
      <c r="D4476" s="47"/>
    </row>
    <row r="4477" spans="4:4" x14ac:dyDescent="0.45">
      <c r="D4477" s="47"/>
    </row>
    <row r="4478" spans="4:4" x14ac:dyDescent="0.45">
      <c r="D4478" s="47"/>
    </row>
    <row r="4479" spans="4:4" x14ac:dyDescent="0.45">
      <c r="D4479" s="47"/>
    </row>
    <row r="4480" spans="4:4" x14ac:dyDescent="0.45">
      <c r="D4480" s="47"/>
    </row>
    <row r="4481" spans="4:4" x14ac:dyDescent="0.45">
      <c r="D4481" s="47"/>
    </row>
    <row r="4482" spans="4:4" x14ac:dyDescent="0.45">
      <c r="D4482" s="47"/>
    </row>
    <row r="4483" spans="4:4" x14ac:dyDescent="0.45">
      <c r="D4483" s="47"/>
    </row>
    <row r="4484" spans="4:4" x14ac:dyDescent="0.45">
      <c r="D4484" s="47"/>
    </row>
    <row r="4485" spans="4:4" x14ac:dyDescent="0.45">
      <c r="D4485" s="47"/>
    </row>
    <row r="4486" spans="4:4" x14ac:dyDescent="0.45">
      <c r="D4486" s="47"/>
    </row>
    <row r="4487" spans="4:4" x14ac:dyDescent="0.45">
      <c r="D4487" s="47"/>
    </row>
    <row r="4488" spans="4:4" x14ac:dyDescent="0.45">
      <c r="D4488" s="47"/>
    </row>
    <row r="4489" spans="4:4" x14ac:dyDescent="0.45">
      <c r="D4489" s="47"/>
    </row>
    <row r="4490" spans="4:4" x14ac:dyDescent="0.45">
      <c r="D4490" s="47"/>
    </row>
    <row r="4491" spans="4:4" x14ac:dyDescent="0.45">
      <c r="D4491" s="47"/>
    </row>
    <row r="4492" spans="4:4" x14ac:dyDescent="0.45">
      <c r="D4492" s="47"/>
    </row>
    <row r="4493" spans="4:4" x14ac:dyDescent="0.45">
      <c r="D4493" s="47"/>
    </row>
    <row r="4494" spans="4:4" x14ac:dyDescent="0.45">
      <c r="D4494" s="47"/>
    </row>
    <row r="4495" spans="4:4" x14ac:dyDescent="0.45">
      <c r="D4495" s="47"/>
    </row>
    <row r="4496" spans="4:4" x14ac:dyDescent="0.45">
      <c r="D4496" s="47"/>
    </row>
    <row r="4497" spans="4:4" x14ac:dyDescent="0.45">
      <c r="D4497" s="47"/>
    </row>
    <row r="4498" spans="4:4" x14ac:dyDescent="0.45">
      <c r="D4498" s="47"/>
    </row>
    <row r="4499" spans="4:4" x14ac:dyDescent="0.45">
      <c r="D4499" s="47"/>
    </row>
    <row r="4500" spans="4:4" x14ac:dyDescent="0.45">
      <c r="D4500" s="47"/>
    </row>
    <row r="4501" spans="4:4" x14ac:dyDescent="0.45">
      <c r="D4501" s="47"/>
    </row>
    <row r="4502" spans="4:4" x14ac:dyDescent="0.45">
      <c r="D4502" s="47"/>
    </row>
    <row r="4503" spans="4:4" x14ac:dyDescent="0.45">
      <c r="D4503" s="47"/>
    </row>
    <row r="4504" spans="4:4" x14ac:dyDescent="0.45">
      <c r="D4504" s="47"/>
    </row>
    <row r="4505" spans="4:4" x14ac:dyDescent="0.45">
      <c r="D4505" s="47"/>
    </row>
    <row r="4506" spans="4:4" x14ac:dyDescent="0.45">
      <c r="D4506" s="47"/>
    </row>
    <row r="4507" spans="4:4" x14ac:dyDescent="0.45">
      <c r="D4507" s="47"/>
    </row>
    <row r="4508" spans="4:4" x14ac:dyDescent="0.45">
      <c r="D4508" s="47"/>
    </row>
    <row r="4509" spans="4:4" x14ac:dyDescent="0.45">
      <c r="D4509" s="47"/>
    </row>
    <row r="4510" spans="4:4" x14ac:dyDescent="0.45">
      <c r="D4510" s="47"/>
    </row>
    <row r="4511" spans="4:4" x14ac:dyDescent="0.45">
      <c r="D4511" s="47"/>
    </row>
    <row r="4512" spans="4:4" x14ac:dyDescent="0.45">
      <c r="D4512" s="47"/>
    </row>
    <row r="4513" spans="4:4" x14ac:dyDescent="0.45">
      <c r="D4513" s="47"/>
    </row>
    <row r="4514" spans="4:4" x14ac:dyDescent="0.45">
      <c r="D4514" s="47"/>
    </row>
    <row r="4515" spans="4:4" x14ac:dyDescent="0.45">
      <c r="D4515" s="47"/>
    </row>
    <row r="4516" spans="4:4" x14ac:dyDescent="0.45">
      <c r="D4516" s="47"/>
    </row>
    <row r="4517" spans="4:4" x14ac:dyDescent="0.45">
      <c r="D4517" s="47"/>
    </row>
    <row r="4518" spans="4:4" x14ac:dyDescent="0.45">
      <c r="D4518" s="47"/>
    </row>
    <row r="4519" spans="4:4" x14ac:dyDescent="0.45">
      <c r="D4519" s="47"/>
    </row>
    <row r="4520" spans="4:4" x14ac:dyDescent="0.45">
      <c r="D4520" s="47"/>
    </row>
    <row r="4521" spans="4:4" x14ac:dyDescent="0.45">
      <c r="D4521" s="47"/>
    </row>
    <row r="4522" spans="4:4" x14ac:dyDescent="0.45">
      <c r="D4522" s="47"/>
    </row>
    <row r="4523" spans="4:4" x14ac:dyDescent="0.45">
      <c r="D4523" s="47"/>
    </row>
    <row r="4524" spans="4:4" x14ac:dyDescent="0.45">
      <c r="D4524" s="47"/>
    </row>
    <row r="4525" spans="4:4" x14ac:dyDescent="0.45">
      <c r="D4525" s="47"/>
    </row>
    <row r="4526" spans="4:4" x14ac:dyDescent="0.45">
      <c r="D4526" s="47"/>
    </row>
    <row r="4527" spans="4:4" x14ac:dyDescent="0.45">
      <c r="D4527" s="47"/>
    </row>
    <row r="4528" spans="4:4" x14ac:dyDescent="0.45">
      <c r="D4528" s="47"/>
    </row>
    <row r="4529" spans="4:4" x14ac:dyDescent="0.45">
      <c r="D4529" s="47"/>
    </row>
    <row r="4530" spans="4:4" x14ac:dyDescent="0.45">
      <c r="D4530" s="47"/>
    </row>
    <row r="4531" spans="4:4" x14ac:dyDescent="0.45">
      <c r="D4531" s="47"/>
    </row>
    <row r="4532" spans="4:4" x14ac:dyDescent="0.45">
      <c r="D4532" s="47"/>
    </row>
    <row r="4533" spans="4:4" x14ac:dyDescent="0.45">
      <c r="D4533" s="47"/>
    </row>
    <row r="4534" spans="4:4" x14ac:dyDescent="0.45">
      <c r="D4534" s="47"/>
    </row>
    <row r="4535" spans="4:4" x14ac:dyDescent="0.45">
      <c r="D4535" s="47"/>
    </row>
    <row r="4536" spans="4:4" x14ac:dyDescent="0.45">
      <c r="D4536" s="47"/>
    </row>
    <row r="4537" spans="4:4" x14ac:dyDescent="0.45">
      <c r="D4537" s="47"/>
    </row>
    <row r="4538" spans="4:4" x14ac:dyDescent="0.45">
      <c r="D4538" s="47"/>
    </row>
    <row r="4539" spans="4:4" x14ac:dyDescent="0.45">
      <c r="D4539" s="47"/>
    </row>
    <row r="4540" spans="4:4" x14ac:dyDescent="0.45">
      <c r="D4540" s="47"/>
    </row>
    <row r="4541" spans="4:4" x14ac:dyDescent="0.45">
      <c r="D4541" s="47"/>
    </row>
    <row r="4542" spans="4:4" x14ac:dyDescent="0.45">
      <c r="D4542" s="47"/>
    </row>
    <row r="4543" spans="4:4" x14ac:dyDescent="0.45">
      <c r="D4543" s="47"/>
    </row>
    <row r="4544" spans="4:4" x14ac:dyDescent="0.45">
      <c r="D4544" s="47"/>
    </row>
    <row r="4545" spans="4:4" x14ac:dyDescent="0.45">
      <c r="D4545" s="47"/>
    </row>
    <row r="4546" spans="4:4" x14ac:dyDescent="0.45">
      <c r="D4546" s="47"/>
    </row>
    <row r="4547" spans="4:4" x14ac:dyDescent="0.45">
      <c r="D4547" s="47"/>
    </row>
    <row r="4548" spans="4:4" x14ac:dyDescent="0.45">
      <c r="D4548" s="47"/>
    </row>
    <row r="4549" spans="4:4" x14ac:dyDescent="0.45">
      <c r="D4549" s="47"/>
    </row>
    <row r="4550" spans="4:4" x14ac:dyDescent="0.45">
      <c r="D4550" s="47"/>
    </row>
    <row r="4551" spans="4:4" x14ac:dyDescent="0.45">
      <c r="D4551" s="47"/>
    </row>
    <row r="4552" spans="4:4" x14ac:dyDescent="0.45">
      <c r="D4552" s="47"/>
    </row>
    <row r="4553" spans="4:4" x14ac:dyDescent="0.45">
      <c r="D4553" s="47"/>
    </row>
    <row r="4554" spans="4:4" x14ac:dyDescent="0.45">
      <c r="D4554" s="47"/>
    </row>
    <row r="4555" spans="4:4" x14ac:dyDescent="0.45">
      <c r="D4555" s="47"/>
    </row>
    <row r="4556" spans="4:4" x14ac:dyDescent="0.45">
      <c r="D4556" s="47"/>
    </row>
    <row r="4557" spans="4:4" x14ac:dyDescent="0.45">
      <c r="D4557" s="47"/>
    </row>
    <row r="4558" spans="4:4" x14ac:dyDescent="0.45">
      <c r="D4558" s="47"/>
    </row>
    <row r="4559" spans="4:4" x14ac:dyDescent="0.45">
      <c r="D4559" s="47"/>
    </row>
    <row r="4560" spans="4:4" x14ac:dyDescent="0.45">
      <c r="D4560" s="47"/>
    </row>
    <row r="4561" spans="4:4" x14ac:dyDescent="0.45">
      <c r="D4561" s="47"/>
    </row>
    <row r="4562" spans="4:4" x14ac:dyDescent="0.45">
      <c r="D4562" s="47"/>
    </row>
    <row r="4563" spans="4:4" x14ac:dyDescent="0.45">
      <c r="D4563" s="47"/>
    </row>
    <row r="4564" spans="4:4" x14ac:dyDescent="0.45">
      <c r="D4564" s="47"/>
    </row>
    <row r="4565" spans="4:4" x14ac:dyDescent="0.45">
      <c r="D4565" s="47"/>
    </row>
    <row r="4566" spans="4:4" x14ac:dyDescent="0.45">
      <c r="D4566" s="47"/>
    </row>
    <row r="4567" spans="4:4" x14ac:dyDescent="0.45">
      <c r="D4567" s="47"/>
    </row>
    <row r="4568" spans="4:4" x14ac:dyDescent="0.45">
      <c r="D4568" s="47"/>
    </row>
    <row r="4569" spans="4:4" x14ac:dyDescent="0.45">
      <c r="D4569" s="47"/>
    </row>
    <row r="4570" spans="4:4" x14ac:dyDescent="0.45">
      <c r="D4570" s="47"/>
    </row>
    <row r="4571" spans="4:4" x14ac:dyDescent="0.45">
      <c r="D4571" s="47"/>
    </row>
    <row r="4572" spans="4:4" x14ac:dyDescent="0.45">
      <c r="D4572" s="47"/>
    </row>
    <row r="4573" spans="4:4" x14ac:dyDescent="0.45">
      <c r="D4573" s="47"/>
    </row>
    <row r="4574" spans="4:4" x14ac:dyDescent="0.45">
      <c r="D4574" s="47"/>
    </row>
    <row r="4575" spans="4:4" x14ac:dyDescent="0.45">
      <c r="D4575" s="47"/>
    </row>
    <row r="4576" spans="4:4" x14ac:dyDescent="0.45">
      <c r="D4576" s="47"/>
    </row>
    <row r="4577" spans="4:4" x14ac:dyDescent="0.45">
      <c r="D4577" s="47"/>
    </row>
    <row r="4578" spans="4:4" x14ac:dyDescent="0.45">
      <c r="D4578" s="47"/>
    </row>
    <row r="4579" spans="4:4" x14ac:dyDescent="0.45">
      <c r="D4579" s="47"/>
    </row>
    <row r="4580" spans="4:4" x14ac:dyDescent="0.45">
      <c r="D4580" s="47"/>
    </row>
    <row r="4581" spans="4:4" x14ac:dyDescent="0.45">
      <c r="D4581" s="47"/>
    </row>
    <row r="4582" spans="4:4" x14ac:dyDescent="0.45">
      <c r="D4582" s="47"/>
    </row>
    <row r="4583" spans="4:4" x14ac:dyDescent="0.45">
      <c r="D4583" s="47"/>
    </row>
    <row r="4584" spans="4:4" x14ac:dyDescent="0.45">
      <c r="D4584" s="47"/>
    </row>
    <row r="4585" spans="4:4" x14ac:dyDescent="0.45">
      <c r="D4585" s="47"/>
    </row>
    <row r="4586" spans="4:4" x14ac:dyDescent="0.45">
      <c r="D4586" s="47"/>
    </row>
    <row r="4587" spans="4:4" x14ac:dyDescent="0.45">
      <c r="D4587" s="47"/>
    </row>
    <row r="4588" spans="4:4" x14ac:dyDescent="0.45">
      <c r="D4588" s="47"/>
    </row>
    <row r="4589" spans="4:4" x14ac:dyDescent="0.45">
      <c r="D4589" s="47"/>
    </row>
    <row r="4590" spans="4:4" x14ac:dyDescent="0.45">
      <c r="D4590" s="47"/>
    </row>
    <row r="4591" spans="4:4" x14ac:dyDescent="0.45">
      <c r="D4591" s="47"/>
    </row>
    <row r="4592" spans="4:4" x14ac:dyDescent="0.45">
      <c r="D4592" s="47"/>
    </row>
    <row r="4593" spans="4:4" x14ac:dyDescent="0.45">
      <c r="D4593" s="47"/>
    </row>
    <row r="4594" spans="4:4" x14ac:dyDescent="0.45">
      <c r="D4594" s="47"/>
    </row>
    <row r="4595" spans="4:4" x14ac:dyDescent="0.45">
      <c r="D4595" s="47"/>
    </row>
    <row r="4596" spans="4:4" x14ac:dyDescent="0.45">
      <c r="D4596" s="47"/>
    </row>
    <row r="4597" spans="4:4" x14ac:dyDescent="0.45">
      <c r="D4597" s="47"/>
    </row>
    <row r="4598" spans="4:4" x14ac:dyDescent="0.45">
      <c r="D4598" s="47"/>
    </row>
    <row r="4599" spans="4:4" x14ac:dyDescent="0.45">
      <c r="D4599" s="47"/>
    </row>
    <row r="4600" spans="4:4" x14ac:dyDescent="0.45">
      <c r="D4600" s="47"/>
    </row>
    <row r="4601" spans="4:4" x14ac:dyDescent="0.45">
      <c r="D4601" s="47"/>
    </row>
    <row r="4602" spans="4:4" x14ac:dyDescent="0.45">
      <c r="D4602" s="47"/>
    </row>
    <row r="4603" spans="4:4" x14ac:dyDescent="0.45">
      <c r="D4603" s="47"/>
    </row>
    <row r="4604" spans="4:4" x14ac:dyDescent="0.45">
      <c r="D4604" s="47"/>
    </row>
    <row r="4605" spans="4:4" x14ac:dyDescent="0.45">
      <c r="D4605" s="47"/>
    </row>
    <row r="4606" spans="4:4" x14ac:dyDescent="0.45">
      <c r="D4606" s="47"/>
    </row>
    <row r="4607" spans="4:4" x14ac:dyDescent="0.45">
      <c r="D4607" s="47"/>
    </row>
    <row r="4608" spans="4:4" x14ac:dyDescent="0.45">
      <c r="D4608" s="47"/>
    </row>
    <row r="4609" spans="4:4" x14ac:dyDescent="0.45">
      <c r="D4609" s="47"/>
    </row>
    <row r="4610" spans="4:4" x14ac:dyDescent="0.45">
      <c r="D4610" s="47"/>
    </row>
    <row r="4611" spans="4:4" x14ac:dyDescent="0.45">
      <c r="D4611" s="47"/>
    </row>
    <row r="4612" spans="4:4" x14ac:dyDescent="0.45">
      <c r="D4612" s="47"/>
    </row>
    <row r="4613" spans="4:4" x14ac:dyDescent="0.45">
      <c r="D4613" s="47"/>
    </row>
    <row r="4614" spans="4:4" x14ac:dyDescent="0.45">
      <c r="D4614" s="47"/>
    </row>
    <row r="4615" spans="4:4" x14ac:dyDescent="0.45">
      <c r="D4615" s="47"/>
    </row>
    <row r="4616" spans="4:4" x14ac:dyDescent="0.45">
      <c r="D4616" s="47"/>
    </row>
    <row r="4617" spans="4:4" x14ac:dyDescent="0.45">
      <c r="D4617" s="47"/>
    </row>
    <row r="4618" spans="4:4" x14ac:dyDescent="0.45">
      <c r="D4618" s="47"/>
    </row>
    <row r="4619" spans="4:4" x14ac:dyDescent="0.45">
      <c r="D4619" s="47"/>
    </row>
    <row r="4620" spans="4:4" x14ac:dyDescent="0.45">
      <c r="D4620" s="47"/>
    </row>
    <row r="4621" spans="4:4" x14ac:dyDescent="0.45">
      <c r="D4621" s="47"/>
    </row>
    <row r="4622" spans="4:4" x14ac:dyDescent="0.45">
      <c r="D4622" s="47"/>
    </row>
    <row r="4623" spans="4:4" x14ac:dyDescent="0.45">
      <c r="D4623" s="47"/>
    </row>
    <row r="4624" spans="4:4" x14ac:dyDescent="0.45">
      <c r="D4624" s="47"/>
    </row>
    <row r="4625" spans="4:4" x14ac:dyDescent="0.45">
      <c r="D4625" s="47"/>
    </row>
    <row r="4626" spans="4:4" x14ac:dyDescent="0.45">
      <c r="D4626" s="47"/>
    </row>
    <row r="4627" spans="4:4" x14ac:dyDescent="0.45">
      <c r="D4627" s="47"/>
    </row>
    <row r="4628" spans="4:4" x14ac:dyDescent="0.45">
      <c r="D4628" s="47"/>
    </row>
    <row r="4629" spans="4:4" x14ac:dyDescent="0.45">
      <c r="D4629" s="47"/>
    </row>
    <row r="4630" spans="4:4" x14ac:dyDescent="0.45">
      <c r="D4630" s="47"/>
    </row>
    <row r="4631" spans="4:4" x14ac:dyDescent="0.45">
      <c r="D4631" s="47"/>
    </row>
    <row r="4632" spans="4:4" x14ac:dyDescent="0.45">
      <c r="D4632" s="47"/>
    </row>
    <row r="4633" spans="4:4" x14ac:dyDescent="0.45">
      <c r="D4633" s="47"/>
    </row>
    <row r="4634" spans="4:4" x14ac:dyDescent="0.45">
      <c r="D4634" s="47"/>
    </row>
    <row r="4635" spans="4:4" x14ac:dyDescent="0.45">
      <c r="D4635" s="47"/>
    </row>
    <row r="4636" spans="4:4" x14ac:dyDescent="0.45">
      <c r="D4636" s="47"/>
    </row>
    <row r="4637" spans="4:4" x14ac:dyDescent="0.45">
      <c r="D4637" s="47"/>
    </row>
    <row r="4638" spans="4:4" x14ac:dyDescent="0.45">
      <c r="D4638" s="47"/>
    </row>
    <row r="4639" spans="4:4" x14ac:dyDescent="0.45">
      <c r="D4639" s="47"/>
    </row>
    <row r="4640" spans="4:4" x14ac:dyDescent="0.45">
      <c r="D4640" s="47"/>
    </row>
    <row r="4641" spans="4:4" x14ac:dyDescent="0.45">
      <c r="D4641" s="47"/>
    </row>
    <row r="4642" spans="4:4" x14ac:dyDescent="0.45">
      <c r="D4642" s="47"/>
    </row>
    <row r="4643" spans="4:4" x14ac:dyDescent="0.45">
      <c r="D4643" s="47"/>
    </row>
    <row r="4644" spans="4:4" x14ac:dyDescent="0.45">
      <c r="D4644" s="47"/>
    </row>
    <row r="4645" spans="4:4" x14ac:dyDescent="0.45">
      <c r="D4645" s="47"/>
    </row>
    <row r="4646" spans="4:4" x14ac:dyDescent="0.45">
      <c r="D4646" s="47"/>
    </row>
    <row r="4647" spans="4:4" x14ac:dyDescent="0.45">
      <c r="D4647" s="47"/>
    </row>
    <row r="4648" spans="4:4" x14ac:dyDescent="0.45">
      <c r="D4648" s="47"/>
    </row>
    <row r="4649" spans="4:4" x14ac:dyDescent="0.45">
      <c r="D4649" s="47"/>
    </row>
    <row r="4650" spans="4:4" x14ac:dyDescent="0.45">
      <c r="D4650" s="47"/>
    </row>
    <row r="4651" spans="4:4" x14ac:dyDescent="0.45">
      <c r="D4651" s="47"/>
    </row>
    <row r="4652" spans="4:4" x14ac:dyDescent="0.45">
      <c r="D4652" s="47"/>
    </row>
    <row r="4653" spans="4:4" x14ac:dyDescent="0.45">
      <c r="D4653" s="47"/>
    </row>
    <row r="4654" spans="4:4" x14ac:dyDescent="0.45">
      <c r="D4654" s="47"/>
    </row>
    <row r="4655" spans="4:4" x14ac:dyDescent="0.45">
      <c r="D4655" s="47"/>
    </row>
    <row r="4656" spans="4:4" x14ac:dyDescent="0.45">
      <c r="D4656" s="47"/>
    </row>
    <row r="4657" spans="4:4" x14ac:dyDescent="0.45">
      <c r="D4657" s="47"/>
    </row>
    <row r="4658" spans="4:4" x14ac:dyDescent="0.45">
      <c r="D4658" s="47"/>
    </row>
    <row r="4659" spans="4:4" x14ac:dyDescent="0.45">
      <c r="D4659" s="47"/>
    </row>
    <row r="4660" spans="4:4" x14ac:dyDescent="0.45">
      <c r="D4660" s="47"/>
    </row>
    <row r="4661" spans="4:4" x14ac:dyDescent="0.45">
      <c r="D4661" s="47"/>
    </row>
    <row r="4662" spans="4:4" x14ac:dyDescent="0.45">
      <c r="D4662" s="47"/>
    </row>
    <row r="4663" spans="4:4" x14ac:dyDescent="0.45">
      <c r="D4663" s="47"/>
    </row>
    <row r="4664" spans="4:4" x14ac:dyDescent="0.45">
      <c r="D4664" s="47"/>
    </row>
    <row r="4665" spans="4:4" x14ac:dyDescent="0.45">
      <c r="D4665" s="47"/>
    </row>
    <row r="4666" spans="4:4" x14ac:dyDescent="0.45">
      <c r="D4666" s="47"/>
    </row>
    <row r="4667" spans="4:4" x14ac:dyDescent="0.45">
      <c r="D4667" s="47"/>
    </row>
    <row r="4668" spans="4:4" x14ac:dyDescent="0.45">
      <c r="D4668" s="47"/>
    </row>
    <row r="4669" spans="4:4" x14ac:dyDescent="0.45">
      <c r="D4669" s="47"/>
    </row>
    <row r="4670" spans="4:4" x14ac:dyDescent="0.45">
      <c r="D4670" s="47"/>
    </row>
    <row r="4671" spans="4:4" x14ac:dyDescent="0.45">
      <c r="D4671" s="47"/>
    </row>
    <row r="4672" spans="4:4" x14ac:dyDescent="0.45">
      <c r="D4672" s="47"/>
    </row>
    <row r="4673" spans="4:4" x14ac:dyDescent="0.45">
      <c r="D4673" s="47"/>
    </row>
    <row r="4674" spans="4:4" x14ac:dyDescent="0.45">
      <c r="D4674" s="47"/>
    </row>
    <row r="4675" spans="4:4" x14ac:dyDescent="0.45">
      <c r="D4675" s="47"/>
    </row>
    <row r="4676" spans="4:4" x14ac:dyDescent="0.45">
      <c r="D4676" s="47"/>
    </row>
    <row r="4677" spans="4:4" x14ac:dyDescent="0.45">
      <c r="D4677" s="47"/>
    </row>
    <row r="4678" spans="4:4" x14ac:dyDescent="0.45">
      <c r="D4678" s="47"/>
    </row>
    <row r="4679" spans="4:4" x14ac:dyDescent="0.45">
      <c r="D4679" s="47"/>
    </row>
    <row r="4680" spans="4:4" x14ac:dyDescent="0.45">
      <c r="D4680" s="47"/>
    </row>
    <row r="4681" spans="4:4" x14ac:dyDescent="0.45">
      <c r="D4681" s="47"/>
    </row>
    <row r="4682" spans="4:4" x14ac:dyDescent="0.45">
      <c r="D4682" s="47"/>
    </row>
    <row r="4683" spans="4:4" x14ac:dyDescent="0.45">
      <c r="D4683" s="47"/>
    </row>
    <row r="4684" spans="4:4" x14ac:dyDescent="0.45">
      <c r="D4684" s="47"/>
    </row>
    <row r="4685" spans="4:4" x14ac:dyDescent="0.45">
      <c r="D4685" s="47"/>
    </row>
    <row r="4686" spans="4:4" x14ac:dyDescent="0.45">
      <c r="D4686" s="47"/>
    </row>
    <row r="4687" spans="4:4" x14ac:dyDescent="0.45">
      <c r="D4687" s="47"/>
    </row>
    <row r="4688" spans="4:4" x14ac:dyDescent="0.45">
      <c r="D4688" s="47"/>
    </row>
    <row r="4689" spans="4:4" x14ac:dyDescent="0.45">
      <c r="D4689" s="47"/>
    </row>
    <row r="4690" spans="4:4" x14ac:dyDescent="0.45">
      <c r="D4690" s="47"/>
    </row>
    <row r="4691" spans="4:4" x14ac:dyDescent="0.45">
      <c r="D4691" s="47"/>
    </row>
    <row r="4692" spans="4:4" x14ac:dyDescent="0.45">
      <c r="D4692" s="47"/>
    </row>
    <row r="4693" spans="4:4" x14ac:dyDescent="0.45">
      <c r="D4693" s="47"/>
    </row>
    <row r="4694" spans="4:4" x14ac:dyDescent="0.45">
      <c r="D4694" s="47"/>
    </row>
    <row r="4695" spans="4:4" x14ac:dyDescent="0.45">
      <c r="D4695" s="47"/>
    </row>
    <row r="4696" spans="4:4" x14ac:dyDescent="0.45">
      <c r="D4696" s="47"/>
    </row>
    <row r="4697" spans="4:4" x14ac:dyDescent="0.45">
      <c r="D4697" s="47"/>
    </row>
    <row r="4698" spans="4:4" x14ac:dyDescent="0.45">
      <c r="D4698" s="47"/>
    </row>
    <row r="4699" spans="4:4" x14ac:dyDescent="0.45">
      <c r="D4699" s="47"/>
    </row>
    <row r="4700" spans="4:4" x14ac:dyDescent="0.45">
      <c r="D4700" s="47"/>
    </row>
    <row r="4701" spans="4:4" x14ac:dyDescent="0.45">
      <c r="D4701" s="47"/>
    </row>
    <row r="4702" spans="4:4" x14ac:dyDescent="0.45">
      <c r="D4702" s="47"/>
    </row>
    <row r="4703" spans="4:4" x14ac:dyDescent="0.45">
      <c r="D4703" s="47"/>
    </row>
    <row r="4704" spans="4:4" x14ac:dyDescent="0.45">
      <c r="D4704" s="47"/>
    </row>
    <row r="4705" spans="4:4" x14ac:dyDescent="0.45">
      <c r="D4705" s="47"/>
    </row>
    <row r="4706" spans="4:4" x14ac:dyDescent="0.45">
      <c r="D4706" s="47"/>
    </row>
    <row r="4707" spans="4:4" x14ac:dyDescent="0.45">
      <c r="D4707" s="47"/>
    </row>
    <row r="4708" spans="4:4" x14ac:dyDescent="0.45">
      <c r="D4708" s="47"/>
    </row>
    <row r="4709" spans="4:4" x14ac:dyDescent="0.45">
      <c r="D4709" s="47"/>
    </row>
    <row r="4710" spans="4:4" x14ac:dyDescent="0.45">
      <c r="D4710" s="47"/>
    </row>
    <row r="4711" spans="4:4" x14ac:dyDescent="0.45">
      <c r="D4711" s="47"/>
    </row>
    <row r="4712" spans="4:4" x14ac:dyDescent="0.45">
      <c r="D4712" s="47"/>
    </row>
    <row r="4713" spans="4:4" x14ac:dyDescent="0.45">
      <c r="D4713" s="47"/>
    </row>
    <row r="4714" spans="4:4" x14ac:dyDescent="0.45">
      <c r="D4714" s="47"/>
    </row>
    <row r="4715" spans="4:4" x14ac:dyDescent="0.45">
      <c r="D4715" s="47"/>
    </row>
    <row r="4716" spans="4:4" x14ac:dyDescent="0.45">
      <c r="D4716" s="47"/>
    </row>
    <row r="4717" spans="4:4" x14ac:dyDescent="0.45">
      <c r="D4717" s="47"/>
    </row>
    <row r="4718" spans="4:4" x14ac:dyDescent="0.45">
      <c r="D4718" s="47"/>
    </row>
    <row r="4719" spans="4:4" x14ac:dyDescent="0.45">
      <c r="D4719" s="47"/>
    </row>
    <row r="4720" spans="4:4" x14ac:dyDescent="0.45">
      <c r="D4720" s="47"/>
    </row>
    <row r="4721" spans="4:4" x14ac:dyDescent="0.45">
      <c r="D4721" s="47"/>
    </row>
    <row r="4722" spans="4:4" x14ac:dyDescent="0.45">
      <c r="D4722" s="47"/>
    </row>
    <row r="4723" spans="4:4" x14ac:dyDescent="0.45">
      <c r="D4723" s="47"/>
    </row>
    <row r="4724" spans="4:4" x14ac:dyDescent="0.45">
      <c r="D4724" s="47"/>
    </row>
    <row r="4725" spans="4:4" x14ac:dyDescent="0.45">
      <c r="D4725" s="47"/>
    </row>
    <row r="4726" spans="4:4" x14ac:dyDescent="0.45">
      <c r="D4726" s="47"/>
    </row>
    <row r="4727" spans="4:4" x14ac:dyDescent="0.45">
      <c r="D4727" s="47"/>
    </row>
    <row r="4728" spans="4:4" x14ac:dyDescent="0.45">
      <c r="D4728" s="47"/>
    </row>
    <row r="4729" spans="4:4" x14ac:dyDescent="0.45">
      <c r="D4729" s="47"/>
    </row>
    <row r="4730" spans="4:4" x14ac:dyDescent="0.45">
      <c r="D4730" s="47"/>
    </row>
    <row r="4731" spans="4:4" x14ac:dyDescent="0.45">
      <c r="D4731" s="47"/>
    </row>
    <row r="4732" spans="4:4" x14ac:dyDescent="0.45">
      <c r="D4732" s="47"/>
    </row>
    <row r="4733" spans="4:4" x14ac:dyDescent="0.45">
      <c r="D4733" s="47"/>
    </row>
    <row r="4734" spans="4:4" x14ac:dyDescent="0.45">
      <c r="D4734" s="47"/>
    </row>
    <row r="4735" spans="4:4" x14ac:dyDescent="0.45">
      <c r="D4735" s="47"/>
    </row>
    <row r="4736" spans="4:4" x14ac:dyDescent="0.45">
      <c r="D4736" s="47"/>
    </row>
    <row r="4737" spans="4:4" x14ac:dyDescent="0.45">
      <c r="D4737" s="47"/>
    </row>
    <row r="4738" spans="4:4" x14ac:dyDescent="0.45">
      <c r="D4738" s="47"/>
    </row>
    <row r="4739" spans="4:4" x14ac:dyDescent="0.45">
      <c r="D4739" s="47"/>
    </row>
    <row r="4740" spans="4:4" x14ac:dyDescent="0.45">
      <c r="D4740" s="47"/>
    </row>
    <row r="4741" spans="4:4" x14ac:dyDescent="0.45">
      <c r="D4741" s="47"/>
    </row>
    <row r="4742" spans="4:4" x14ac:dyDescent="0.45">
      <c r="D4742" s="47"/>
    </row>
    <row r="4743" spans="4:4" x14ac:dyDescent="0.45">
      <c r="D4743" s="47"/>
    </row>
    <row r="4744" spans="4:4" x14ac:dyDescent="0.45">
      <c r="D4744" s="47"/>
    </row>
    <row r="4745" spans="4:4" x14ac:dyDescent="0.45">
      <c r="D4745" s="47"/>
    </row>
    <row r="4746" spans="4:4" x14ac:dyDescent="0.45">
      <c r="D4746" s="47"/>
    </row>
    <row r="4747" spans="4:4" x14ac:dyDescent="0.45">
      <c r="D4747" s="47"/>
    </row>
    <row r="4748" spans="4:4" x14ac:dyDescent="0.45">
      <c r="D4748" s="47"/>
    </row>
    <row r="4749" spans="4:4" x14ac:dyDescent="0.45">
      <c r="D4749" s="47"/>
    </row>
    <row r="4750" spans="4:4" x14ac:dyDescent="0.45">
      <c r="D4750" s="47"/>
    </row>
    <row r="4751" spans="4:4" x14ac:dyDescent="0.45">
      <c r="D4751" s="47"/>
    </row>
    <row r="4752" spans="4:4" x14ac:dyDescent="0.45">
      <c r="D4752" s="47"/>
    </row>
    <row r="4753" spans="4:4" x14ac:dyDescent="0.45">
      <c r="D4753" s="47"/>
    </row>
    <row r="4754" spans="4:4" x14ac:dyDescent="0.45">
      <c r="D4754" s="47"/>
    </row>
    <row r="4755" spans="4:4" x14ac:dyDescent="0.45">
      <c r="D4755" s="47"/>
    </row>
    <row r="4756" spans="4:4" x14ac:dyDescent="0.45">
      <c r="D4756" s="47"/>
    </row>
    <row r="4757" spans="4:4" x14ac:dyDescent="0.45">
      <c r="D4757" s="47"/>
    </row>
    <row r="4758" spans="4:4" x14ac:dyDescent="0.45">
      <c r="D4758" s="47"/>
    </row>
    <row r="4759" spans="4:4" x14ac:dyDescent="0.45">
      <c r="D4759" s="47"/>
    </row>
    <row r="4760" spans="4:4" x14ac:dyDescent="0.45">
      <c r="D4760" s="47"/>
    </row>
    <row r="4761" spans="4:4" x14ac:dyDescent="0.45">
      <c r="D4761" s="47"/>
    </row>
    <row r="4762" spans="4:4" x14ac:dyDescent="0.45">
      <c r="D4762" s="47"/>
    </row>
    <row r="4763" spans="4:4" x14ac:dyDescent="0.45">
      <c r="D4763" s="47"/>
    </row>
    <row r="4764" spans="4:4" x14ac:dyDescent="0.45">
      <c r="D4764" s="47"/>
    </row>
    <row r="4765" spans="4:4" x14ac:dyDescent="0.45">
      <c r="D4765" s="47"/>
    </row>
    <row r="4766" spans="4:4" x14ac:dyDescent="0.45">
      <c r="D4766" s="47"/>
    </row>
    <row r="4767" spans="4:4" x14ac:dyDescent="0.45">
      <c r="D4767" s="47"/>
    </row>
    <row r="4768" spans="4:4" x14ac:dyDescent="0.45">
      <c r="D4768" s="47"/>
    </row>
    <row r="4769" spans="4:4" x14ac:dyDescent="0.45">
      <c r="D4769" s="47"/>
    </row>
    <row r="4770" spans="4:4" x14ac:dyDescent="0.45">
      <c r="D4770" s="47"/>
    </row>
    <row r="4771" spans="4:4" x14ac:dyDescent="0.45">
      <c r="D4771" s="47"/>
    </row>
    <row r="4772" spans="4:4" x14ac:dyDescent="0.45">
      <c r="D4772" s="47"/>
    </row>
    <row r="4773" spans="4:4" x14ac:dyDescent="0.45">
      <c r="D4773" s="47"/>
    </row>
    <row r="4774" spans="4:4" x14ac:dyDescent="0.45">
      <c r="D4774" s="47"/>
    </row>
    <row r="4775" spans="4:4" x14ac:dyDescent="0.45">
      <c r="D4775" s="47"/>
    </row>
    <row r="4776" spans="4:4" x14ac:dyDescent="0.45">
      <c r="D4776" s="47"/>
    </row>
    <row r="4777" spans="4:4" x14ac:dyDescent="0.45">
      <c r="D4777" s="47"/>
    </row>
    <row r="4778" spans="4:4" x14ac:dyDescent="0.45">
      <c r="D4778" s="47"/>
    </row>
    <row r="4779" spans="4:4" x14ac:dyDescent="0.45">
      <c r="D4779" s="47"/>
    </row>
    <row r="4780" spans="4:4" x14ac:dyDescent="0.45">
      <c r="D4780" s="47"/>
    </row>
    <row r="4781" spans="4:4" x14ac:dyDescent="0.45">
      <c r="D4781" s="47"/>
    </row>
    <row r="4782" spans="4:4" x14ac:dyDescent="0.45">
      <c r="D4782" s="47"/>
    </row>
    <row r="4783" spans="4:4" x14ac:dyDescent="0.45">
      <c r="D4783" s="47"/>
    </row>
    <row r="4784" spans="4:4" x14ac:dyDescent="0.45">
      <c r="D4784" s="47"/>
    </row>
    <row r="4785" spans="4:4" x14ac:dyDescent="0.45">
      <c r="D4785" s="47"/>
    </row>
    <row r="4786" spans="4:4" x14ac:dyDescent="0.45">
      <c r="D4786" s="47"/>
    </row>
    <row r="4787" spans="4:4" x14ac:dyDescent="0.45">
      <c r="D4787" s="47"/>
    </row>
    <row r="4788" spans="4:4" x14ac:dyDescent="0.45">
      <c r="D4788" s="47"/>
    </row>
    <row r="4789" spans="4:4" x14ac:dyDescent="0.45">
      <c r="D4789" s="47"/>
    </row>
    <row r="4790" spans="4:4" x14ac:dyDescent="0.45">
      <c r="D4790" s="47"/>
    </row>
    <row r="4791" spans="4:4" x14ac:dyDescent="0.45">
      <c r="D4791" s="47"/>
    </row>
    <row r="4792" spans="4:4" x14ac:dyDescent="0.45">
      <c r="D4792" s="47"/>
    </row>
    <row r="4793" spans="4:4" x14ac:dyDescent="0.45">
      <c r="D4793" s="47"/>
    </row>
    <row r="4794" spans="4:4" x14ac:dyDescent="0.45">
      <c r="D4794" s="47"/>
    </row>
    <row r="4795" spans="4:4" x14ac:dyDescent="0.45">
      <c r="D4795" s="47"/>
    </row>
    <row r="4796" spans="4:4" x14ac:dyDescent="0.45">
      <c r="D4796" s="47"/>
    </row>
    <row r="4797" spans="4:4" x14ac:dyDescent="0.45">
      <c r="D4797" s="47"/>
    </row>
    <row r="4798" spans="4:4" x14ac:dyDescent="0.45">
      <c r="D4798" s="47"/>
    </row>
    <row r="4799" spans="4:4" x14ac:dyDescent="0.45">
      <c r="D4799" s="47"/>
    </row>
    <row r="4800" spans="4:4" x14ac:dyDescent="0.45">
      <c r="D4800" s="47"/>
    </row>
    <row r="4801" spans="4:4" x14ac:dyDescent="0.45">
      <c r="D4801" s="47"/>
    </row>
    <row r="4802" spans="4:4" x14ac:dyDescent="0.45">
      <c r="D4802" s="47"/>
    </row>
    <row r="4803" spans="4:4" x14ac:dyDescent="0.45">
      <c r="D4803" s="47"/>
    </row>
    <row r="4804" spans="4:4" x14ac:dyDescent="0.45">
      <c r="D4804" s="47"/>
    </row>
    <row r="4805" spans="4:4" x14ac:dyDescent="0.45">
      <c r="D4805" s="47"/>
    </row>
    <row r="4806" spans="4:4" x14ac:dyDescent="0.45">
      <c r="D4806" s="47"/>
    </row>
    <row r="4807" spans="4:4" x14ac:dyDescent="0.45">
      <c r="D4807" s="47"/>
    </row>
    <row r="4808" spans="4:4" x14ac:dyDescent="0.45">
      <c r="D4808" s="47"/>
    </row>
    <row r="4809" spans="4:4" x14ac:dyDescent="0.45">
      <c r="D4809" s="47"/>
    </row>
    <row r="4810" spans="4:4" x14ac:dyDescent="0.45">
      <c r="D4810" s="47"/>
    </row>
    <row r="4811" spans="4:4" x14ac:dyDescent="0.45">
      <c r="D4811" s="47"/>
    </row>
    <row r="4812" spans="4:4" x14ac:dyDescent="0.45">
      <c r="D4812" s="47"/>
    </row>
    <row r="4813" spans="4:4" x14ac:dyDescent="0.45">
      <c r="D4813" s="47"/>
    </row>
    <row r="4814" spans="4:4" x14ac:dyDescent="0.45">
      <c r="D4814" s="47"/>
    </row>
    <row r="4815" spans="4:4" x14ac:dyDescent="0.45">
      <c r="D4815" s="47"/>
    </row>
    <row r="4816" spans="4:4" x14ac:dyDescent="0.45">
      <c r="D4816" s="47"/>
    </row>
    <row r="4817" spans="4:4" x14ac:dyDescent="0.45">
      <c r="D4817" s="47"/>
    </row>
    <row r="4818" spans="4:4" x14ac:dyDescent="0.45">
      <c r="D4818" s="47"/>
    </row>
    <row r="4819" spans="4:4" x14ac:dyDescent="0.45">
      <c r="D4819" s="47"/>
    </row>
    <row r="4820" spans="4:4" x14ac:dyDescent="0.45">
      <c r="D4820" s="47"/>
    </row>
    <row r="4821" spans="4:4" x14ac:dyDescent="0.45">
      <c r="D4821" s="47"/>
    </row>
    <row r="4822" spans="4:4" x14ac:dyDescent="0.45">
      <c r="D4822" s="47"/>
    </row>
    <row r="4823" spans="4:4" x14ac:dyDescent="0.45">
      <c r="D4823" s="47"/>
    </row>
    <row r="4824" spans="4:4" x14ac:dyDescent="0.45">
      <c r="D4824" s="47"/>
    </row>
    <row r="4825" spans="4:4" x14ac:dyDescent="0.45">
      <c r="D4825" s="47"/>
    </row>
    <row r="4826" spans="4:4" x14ac:dyDescent="0.45">
      <c r="D4826" s="47"/>
    </row>
    <row r="4827" spans="4:4" x14ac:dyDescent="0.45">
      <c r="D4827" s="47"/>
    </row>
    <row r="4828" spans="4:4" x14ac:dyDescent="0.45">
      <c r="D4828" s="47"/>
    </row>
    <row r="4829" spans="4:4" x14ac:dyDescent="0.45">
      <c r="D4829" s="47"/>
    </row>
    <row r="4830" spans="4:4" x14ac:dyDescent="0.45">
      <c r="D4830" s="47"/>
    </row>
    <row r="4831" spans="4:4" x14ac:dyDescent="0.45">
      <c r="D4831" s="47"/>
    </row>
    <row r="4832" spans="4:4" x14ac:dyDescent="0.45">
      <c r="D4832" s="47"/>
    </row>
    <row r="4833" spans="4:4" x14ac:dyDescent="0.45">
      <c r="D4833" s="47"/>
    </row>
    <row r="4834" spans="4:4" x14ac:dyDescent="0.45">
      <c r="D4834" s="47"/>
    </row>
    <row r="4835" spans="4:4" x14ac:dyDescent="0.45">
      <c r="D4835" s="47"/>
    </row>
    <row r="4836" spans="4:4" x14ac:dyDescent="0.45">
      <c r="D4836" s="47"/>
    </row>
    <row r="4837" spans="4:4" x14ac:dyDescent="0.45">
      <c r="D4837" s="47"/>
    </row>
    <row r="4838" spans="4:4" x14ac:dyDescent="0.45">
      <c r="D4838" s="47"/>
    </row>
    <row r="4839" spans="4:4" x14ac:dyDescent="0.45">
      <c r="D4839" s="47"/>
    </row>
    <row r="4840" spans="4:4" x14ac:dyDescent="0.45">
      <c r="D4840" s="47"/>
    </row>
    <row r="4841" spans="4:4" x14ac:dyDescent="0.45">
      <c r="D4841" s="47"/>
    </row>
    <row r="4842" spans="4:4" x14ac:dyDescent="0.45">
      <c r="D4842" s="47"/>
    </row>
    <row r="4843" spans="4:4" x14ac:dyDescent="0.45">
      <c r="D4843" s="47"/>
    </row>
    <row r="4844" spans="4:4" x14ac:dyDescent="0.45">
      <c r="D4844" s="47"/>
    </row>
    <row r="4845" spans="4:4" x14ac:dyDescent="0.45">
      <c r="D4845" s="47"/>
    </row>
    <row r="4846" spans="4:4" x14ac:dyDescent="0.45">
      <c r="D4846" s="47"/>
    </row>
    <row r="4847" spans="4:4" x14ac:dyDescent="0.45">
      <c r="D4847" s="47"/>
    </row>
    <row r="4848" spans="4:4" x14ac:dyDescent="0.45">
      <c r="D4848" s="47"/>
    </row>
    <row r="4849" spans="4:4" x14ac:dyDescent="0.45">
      <c r="D4849" s="47"/>
    </row>
    <row r="4850" spans="4:4" x14ac:dyDescent="0.45">
      <c r="D4850" s="47"/>
    </row>
    <row r="4851" spans="4:4" x14ac:dyDescent="0.45">
      <c r="D4851" s="47"/>
    </row>
    <row r="4852" spans="4:4" x14ac:dyDescent="0.45">
      <c r="D4852" s="47"/>
    </row>
    <row r="4853" spans="4:4" x14ac:dyDescent="0.45">
      <c r="D4853" s="47"/>
    </row>
    <row r="4854" spans="4:4" x14ac:dyDescent="0.45">
      <c r="D4854" s="47"/>
    </row>
    <row r="4855" spans="4:4" x14ac:dyDescent="0.45">
      <c r="D4855" s="47"/>
    </row>
    <row r="4856" spans="4:4" x14ac:dyDescent="0.45">
      <c r="D4856" s="47"/>
    </row>
    <row r="4857" spans="4:4" x14ac:dyDescent="0.45">
      <c r="D4857" s="47"/>
    </row>
    <row r="4858" spans="4:4" x14ac:dyDescent="0.45">
      <c r="D4858" s="47"/>
    </row>
    <row r="4859" spans="4:4" x14ac:dyDescent="0.45">
      <c r="D4859" s="47"/>
    </row>
    <row r="4860" spans="4:4" x14ac:dyDescent="0.45">
      <c r="D4860" s="47"/>
    </row>
    <row r="4861" spans="4:4" x14ac:dyDescent="0.45">
      <c r="D4861" s="47"/>
    </row>
    <row r="4862" spans="4:4" x14ac:dyDescent="0.45">
      <c r="D4862" s="47"/>
    </row>
    <row r="4863" spans="4:4" x14ac:dyDescent="0.45">
      <c r="D4863" s="47"/>
    </row>
    <row r="4864" spans="4:4" x14ac:dyDescent="0.45">
      <c r="D4864" s="47"/>
    </row>
    <row r="4865" spans="4:4" x14ac:dyDescent="0.45">
      <c r="D4865" s="47"/>
    </row>
    <row r="4866" spans="4:4" x14ac:dyDescent="0.45">
      <c r="D4866" s="47"/>
    </row>
    <row r="4867" spans="4:4" x14ac:dyDescent="0.45">
      <c r="D4867" s="47"/>
    </row>
    <row r="4868" spans="4:4" x14ac:dyDescent="0.45">
      <c r="D4868" s="47"/>
    </row>
    <row r="4869" spans="4:4" x14ac:dyDescent="0.45">
      <c r="D4869" s="47"/>
    </row>
    <row r="4870" spans="4:4" x14ac:dyDescent="0.45">
      <c r="D4870" s="47"/>
    </row>
    <row r="4871" spans="4:4" x14ac:dyDescent="0.45">
      <c r="D4871" s="47"/>
    </row>
    <row r="4872" spans="4:4" x14ac:dyDescent="0.45">
      <c r="D4872" s="47"/>
    </row>
    <row r="4873" spans="4:4" x14ac:dyDescent="0.45">
      <c r="D4873" s="47"/>
    </row>
    <row r="4874" spans="4:4" x14ac:dyDescent="0.45">
      <c r="D4874" s="47"/>
    </row>
    <row r="4875" spans="4:4" x14ac:dyDescent="0.45">
      <c r="D4875" s="47"/>
    </row>
    <row r="4876" spans="4:4" x14ac:dyDescent="0.45">
      <c r="D4876" s="47"/>
    </row>
    <row r="4877" spans="4:4" x14ac:dyDescent="0.45">
      <c r="D4877" s="47"/>
    </row>
    <row r="4878" spans="4:4" x14ac:dyDescent="0.45">
      <c r="D4878" s="47"/>
    </row>
    <row r="4879" spans="4:4" x14ac:dyDescent="0.45">
      <c r="D4879" s="47"/>
    </row>
    <row r="4880" spans="4:4" x14ac:dyDescent="0.45">
      <c r="D4880" s="47"/>
    </row>
    <row r="4881" spans="4:4" x14ac:dyDescent="0.45">
      <c r="D4881" s="47"/>
    </row>
    <row r="4882" spans="4:4" x14ac:dyDescent="0.45">
      <c r="D4882" s="47"/>
    </row>
    <row r="4883" spans="4:4" x14ac:dyDescent="0.45">
      <c r="D4883" s="47"/>
    </row>
    <row r="4884" spans="4:4" x14ac:dyDescent="0.45">
      <c r="D4884" s="47"/>
    </row>
    <row r="4885" spans="4:4" x14ac:dyDescent="0.45">
      <c r="D4885" s="47"/>
    </row>
    <row r="4886" spans="4:4" x14ac:dyDescent="0.45">
      <c r="D4886" s="47"/>
    </row>
    <row r="4887" spans="4:4" x14ac:dyDescent="0.45">
      <c r="D4887" s="47"/>
    </row>
    <row r="4888" spans="4:4" x14ac:dyDescent="0.45">
      <c r="D4888" s="47"/>
    </row>
    <row r="4889" spans="4:4" x14ac:dyDescent="0.45">
      <c r="D4889" s="47"/>
    </row>
    <row r="4890" spans="4:4" x14ac:dyDescent="0.45">
      <c r="D4890" s="47"/>
    </row>
    <row r="4891" spans="4:4" x14ac:dyDescent="0.45">
      <c r="D4891" s="47"/>
    </row>
    <row r="4892" spans="4:4" x14ac:dyDescent="0.45">
      <c r="D4892" s="47"/>
    </row>
    <row r="4893" spans="4:4" x14ac:dyDescent="0.45">
      <c r="D4893" s="47"/>
    </row>
    <row r="4894" spans="4:4" x14ac:dyDescent="0.45">
      <c r="D4894" s="47"/>
    </row>
    <row r="4895" spans="4:4" x14ac:dyDescent="0.45">
      <c r="D4895" s="47"/>
    </row>
    <row r="4896" spans="4:4" x14ac:dyDescent="0.45">
      <c r="D4896" s="47"/>
    </row>
    <row r="4897" spans="4:4" x14ac:dyDescent="0.45">
      <c r="D4897" s="47"/>
    </row>
    <row r="4898" spans="4:4" x14ac:dyDescent="0.45">
      <c r="D4898" s="47"/>
    </row>
    <row r="4899" spans="4:4" x14ac:dyDescent="0.45">
      <c r="D4899" s="47"/>
    </row>
    <row r="4900" spans="4:4" x14ac:dyDescent="0.45">
      <c r="D4900" s="47"/>
    </row>
    <row r="4901" spans="4:4" x14ac:dyDescent="0.45">
      <c r="D4901" s="47"/>
    </row>
    <row r="4902" spans="4:4" x14ac:dyDescent="0.45">
      <c r="D4902" s="47"/>
    </row>
    <row r="4903" spans="4:4" x14ac:dyDescent="0.45">
      <c r="D4903" s="47"/>
    </row>
    <row r="4904" spans="4:4" x14ac:dyDescent="0.45">
      <c r="D4904" s="47"/>
    </row>
    <row r="4905" spans="4:4" x14ac:dyDescent="0.45">
      <c r="D4905" s="47"/>
    </row>
    <row r="4906" spans="4:4" x14ac:dyDescent="0.45">
      <c r="D4906" s="47"/>
    </row>
    <row r="4907" spans="4:4" x14ac:dyDescent="0.45">
      <c r="D4907" s="47"/>
    </row>
    <row r="4908" spans="4:4" x14ac:dyDescent="0.45">
      <c r="D4908" s="47"/>
    </row>
    <row r="4909" spans="4:4" x14ac:dyDescent="0.45">
      <c r="D4909" s="47"/>
    </row>
    <row r="4910" spans="4:4" x14ac:dyDescent="0.45">
      <c r="D4910" s="47"/>
    </row>
    <row r="4911" spans="4:4" x14ac:dyDescent="0.45">
      <c r="D4911" s="47"/>
    </row>
    <row r="4912" spans="4:4" x14ac:dyDescent="0.45">
      <c r="D4912" s="47"/>
    </row>
    <row r="4913" spans="4:4" x14ac:dyDescent="0.45">
      <c r="D4913" s="47"/>
    </row>
    <row r="4914" spans="4:4" x14ac:dyDescent="0.45">
      <c r="D4914" s="47"/>
    </row>
    <row r="4915" spans="4:4" x14ac:dyDescent="0.45">
      <c r="D4915" s="47"/>
    </row>
    <row r="4916" spans="4:4" x14ac:dyDescent="0.45">
      <c r="D4916" s="47"/>
    </row>
    <row r="4917" spans="4:4" x14ac:dyDescent="0.45">
      <c r="D4917" s="47"/>
    </row>
    <row r="4918" spans="4:4" x14ac:dyDescent="0.45">
      <c r="D4918" s="47"/>
    </row>
    <row r="4919" spans="4:4" x14ac:dyDescent="0.45">
      <c r="D4919" s="47"/>
    </row>
    <row r="4920" spans="4:4" x14ac:dyDescent="0.45">
      <c r="D4920" s="47"/>
    </row>
    <row r="4921" spans="4:4" x14ac:dyDescent="0.45">
      <c r="D4921" s="47"/>
    </row>
    <row r="4922" spans="4:4" x14ac:dyDescent="0.45">
      <c r="D4922" s="47"/>
    </row>
    <row r="4923" spans="4:4" x14ac:dyDescent="0.45">
      <c r="D4923" s="47"/>
    </row>
    <row r="4924" spans="4:4" x14ac:dyDescent="0.45">
      <c r="D4924" s="47"/>
    </row>
    <row r="4925" spans="4:4" x14ac:dyDescent="0.45">
      <c r="D4925" s="47"/>
    </row>
    <row r="4926" spans="4:4" x14ac:dyDescent="0.45">
      <c r="D4926" s="47"/>
    </row>
    <row r="4927" spans="4:4" x14ac:dyDescent="0.45">
      <c r="D4927" s="47"/>
    </row>
    <row r="4928" spans="4:4" x14ac:dyDescent="0.45">
      <c r="D4928" s="47"/>
    </row>
    <row r="4929" spans="4:4" x14ac:dyDescent="0.45">
      <c r="D4929" s="47"/>
    </row>
    <row r="4930" spans="4:4" x14ac:dyDescent="0.45">
      <c r="D4930" s="47"/>
    </row>
    <row r="4931" spans="4:4" x14ac:dyDescent="0.45">
      <c r="D4931" s="47"/>
    </row>
    <row r="4932" spans="4:4" x14ac:dyDescent="0.45">
      <c r="D4932" s="47"/>
    </row>
    <row r="4933" spans="4:4" x14ac:dyDescent="0.45">
      <c r="D4933" s="47"/>
    </row>
    <row r="4934" spans="4:4" x14ac:dyDescent="0.45">
      <c r="D4934" s="47"/>
    </row>
    <row r="4935" spans="4:4" x14ac:dyDescent="0.45">
      <c r="D4935" s="47"/>
    </row>
    <row r="4936" spans="4:4" x14ac:dyDescent="0.45">
      <c r="D4936" s="47"/>
    </row>
    <row r="4937" spans="4:4" x14ac:dyDescent="0.45">
      <c r="D4937" s="47"/>
    </row>
    <row r="4938" spans="4:4" x14ac:dyDescent="0.45">
      <c r="D4938" s="47"/>
    </row>
    <row r="4939" spans="4:4" x14ac:dyDescent="0.45">
      <c r="D4939" s="47"/>
    </row>
    <row r="4940" spans="4:4" x14ac:dyDescent="0.45">
      <c r="D4940" s="47"/>
    </row>
    <row r="4941" spans="4:4" x14ac:dyDescent="0.45">
      <c r="D4941" s="47"/>
    </row>
    <row r="4942" spans="4:4" x14ac:dyDescent="0.45">
      <c r="D4942" s="47"/>
    </row>
    <row r="4943" spans="4:4" x14ac:dyDescent="0.45">
      <c r="D4943" s="47"/>
    </row>
    <row r="4944" spans="4:4" x14ac:dyDescent="0.45">
      <c r="D4944" s="47"/>
    </row>
    <row r="4945" spans="4:4" x14ac:dyDescent="0.45">
      <c r="D4945" s="47"/>
    </row>
    <row r="4946" spans="4:4" x14ac:dyDescent="0.45">
      <c r="D4946" s="47"/>
    </row>
    <row r="4947" spans="4:4" x14ac:dyDescent="0.45">
      <c r="D4947" s="47"/>
    </row>
    <row r="4948" spans="4:4" x14ac:dyDescent="0.45">
      <c r="D4948" s="47"/>
    </row>
    <row r="4949" spans="4:4" x14ac:dyDescent="0.45">
      <c r="D4949" s="47"/>
    </row>
    <row r="4950" spans="4:4" x14ac:dyDescent="0.45">
      <c r="D4950" s="47"/>
    </row>
    <row r="4951" spans="4:4" x14ac:dyDescent="0.45">
      <c r="D4951" s="47"/>
    </row>
    <row r="4952" spans="4:4" x14ac:dyDescent="0.45">
      <c r="D4952" s="47"/>
    </row>
    <row r="4953" spans="4:4" x14ac:dyDescent="0.45">
      <c r="D4953" s="47"/>
    </row>
    <row r="4954" spans="4:4" x14ac:dyDescent="0.45">
      <c r="D4954" s="47"/>
    </row>
    <row r="4955" spans="4:4" x14ac:dyDescent="0.45">
      <c r="D4955" s="47"/>
    </row>
    <row r="4956" spans="4:4" x14ac:dyDescent="0.45">
      <c r="D4956" s="47"/>
    </row>
    <row r="4957" spans="4:4" x14ac:dyDescent="0.45">
      <c r="D4957" s="47"/>
    </row>
    <row r="4958" spans="4:4" x14ac:dyDescent="0.45">
      <c r="D4958" s="47"/>
    </row>
    <row r="4959" spans="4:4" x14ac:dyDescent="0.45">
      <c r="D4959" s="47"/>
    </row>
    <row r="4960" spans="4:4" x14ac:dyDescent="0.45">
      <c r="D4960" s="47"/>
    </row>
    <row r="4961" spans="4:4" x14ac:dyDescent="0.45">
      <c r="D4961" s="47"/>
    </row>
    <row r="4962" spans="4:4" x14ac:dyDescent="0.45">
      <c r="D4962" s="47"/>
    </row>
    <row r="4963" spans="4:4" x14ac:dyDescent="0.45">
      <c r="D4963" s="47"/>
    </row>
    <row r="4964" spans="4:4" x14ac:dyDescent="0.45">
      <c r="D4964" s="47"/>
    </row>
    <row r="4965" spans="4:4" x14ac:dyDescent="0.45">
      <c r="D4965" s="47"/>
    </row>
    <row r="4966" spans="4:4" x14ac:dyDescent="0.45">
      <c r="D4966" s="47"/>
    </row>
    <row r="4967" spans="4:4" x14ac:dyDescent="0.45">
      <c r="D4967" s="47"/>
    </row>
    <row r="4968" spans="4:4" x14ac:dyDescent="0.45">
      <c r="D4968" s="47"/>
    </row>
    <row r="4969" spans="4:4" x14ac:dyDescent="0.45">
      <c r="D4969" s="47"/>
    </row>
    <row r="4970" spans="4:4" x14ac:dyDescent="0.45">
      <c r="D4970" s="47"/>
    </row>
    <row r="4971" spans="4:4" x14ac:dyDescent="0.45">
      <c r="D4971" s="47"/>
    </row>
    <row r="4972" spans="4:4" x14ac:dyDescent="0.45">
      <c r="D4972" s="47"/>
    </row>
    <row r="4973" spans="4:4" x14ac:dyDescent="0.45">
      <c r="D4973" s="47"/>
    </row>
    <row r="4974" spans="4:4" x14ac:dyDescent="0.45">
      <c r="D4974" s="47"/>
    </row>
    <row r="4975" spans="4:4" x14ac:dyDescent="0.45">
      <c r="D4975" s="47"/>
    </row>
    <row r="4976" spans="4:4" x14ac:dyDescent="0.45">
      <c r="D4976" s="47"/>
    </row>
    <row r="4977" spans="4:4" x14ac:dyDescent="0.45">
      <c r="D4977" s="47"/>
    </row>
    <row r="4978" spans="4:4" x14ac:dyDescent="0.45">
      <c r="D4978" s="47"/>
    </row>
    <row r="4979" spans="4:4" x14ac:dyDescent="0.45">
      <c r="D4979" s="47"/>
    </row>
    <row r="4980" spans="4:4" x14ac:dyDescent="0.45">
      <c r="D4980" s="47"/>
    </row>
    <row r="4981" spans="4:4" x14ac:dyDescent="0.45">
      <c r="D4981" s="47"/>
    </row>
    <row r="4982" spans="4:4" x14ac:dyDescent="0.45">
      <c r="D4982" s="47"/>
    </row>
    <row r="4983" spans="4:4" x14ac:dyDescent="0.45">
      <c r="D4983" s="47"/>
    </row>
    <row r="4984" spans="4:4" x14ac:dyDescent="0.45">
      <c r="D4984" s="47"/>
    </row>
    <row r="4985" spans="4:4" x14ac:dyDescent="0.45">
      <c r="D4985" s="47"/>
    </row>
    <row r="4986" spans="4:4" x14ac:dyDescent="0.45">
      <c r="D4986" s="47"/>
    </row>
    <row r="4987" spans="4:4" x14ac:dyDescent="0.45">
      <c r="D4987" s="47"/>
    </row>
    <row r="4988" spans="4:4" x14ac:dyDescent="0.45">
      <c r="D4988" s="47"/>
    </row>
    <row r="4989" spans="4:4" x14ac:dyDescent="0.45">
      <c r="D4989" s="47"/>
    </row>
    <row r="4990" spans="4:4" x14ac:dyDescent="0.45">
      <c r="D4990" s="47"/>
    </row>
    <row r="4991" spans="4:4" x14ac:dyDescent="0.45">
      <c r="D4991" s="47"/>
    </row>
    <row r="4992" spans="4:4" x14ac:dyDescent="0.45">
      <c r="D4992" s="47"/>
    </row>
    <row r="4993" spans="4:4" x14ac:dyDescent="0.45">
      <c r="D4993" s="47"/>
    </row>
    <row r="4994" spans="4:4" x14ac:dyDescent="0.45">
      <c r="D4994" s="47"/>
    </row>
    <row r="4995" spans="4:4" x14ac:dyDescent="0.45">
      <c r="D4995" s="47"/>
    </row>
    <row r="4996" spans="4:4" x14ac:dyDescent="0.45">
      <c r="D4996" s="47"/>
    </row>
    <row r="4997" spans="4:4" x14ac:dyDescent="0.45">
      <c r="D4997" s="47"/>
    </row>
    <row r="4998" spans="4:4" x14ac:dyDescent="0.45">
      <c r="D4998" s="47"/>
    </row>
    <row r="4999" spans="4:4" x14ac:dyDescent="0.45">
      <c r="D4999" s="47"/>
    </row>
    <row r="5000" spans="4:4" x14ac:dyDescent="0.45">
      <c r="D5000" s="47"/>
    </row>
    <row r="5001" spans="4:4" x14ac:dyDescent="0.45">
      <c r="D5001" s="47"/>
    </row>
    <row r="5002" spans="4:4" x14ac:dyDescent="0.45">
      <c r="D5002" s="47"/>
    </row>
    <row r="5003" spans="4:4" x14ac:dyDescent="0.45">
      <c r="D5003" s="47"/>
    </row>
    <row r="5004" spans="4:4" x14ac:dyDescent="0.45">
      <c r="D5004" s="47"/>
    </row>
    <row r="5005" spans="4:4" x14ac:dyDescent="0.45">
      <c r="D5005" s="47"/>
    </row>
    <row r="5006" spans="4:4" x14ac:dyDescent="0.45">
      <c r="D5006" s="47"/>
    </row>
    <row r="5007" spans="4:4" x14ac:dyDescent="0.45">
      <c r="D5007" s="47"/>
    </row>
    <row r="5008" spans="4:4" x14ac:dyDescent="0.45">
      <c r="D5008" s="47"/>
    </row>
    <row r="5009" spans="4:4" x14ac:dyDescent="0.45">
      <c r="D5009" s="47"/>
    </row>
    <row r="5010" spans="4:4" x14ac:dyDescent="0.45">
      <c r="D5010" s="47"/>
    </row>
    <row r="5011" spans="4:4" x14ac:dyDescent="0.45">
      <c r="D5011" s="47"/>
    </row>
    <row r="5012" spans="4:4" x14ac:dyDescent="0.45">
      <c r="D5012" s="47"/>
    </row>
    <row r="5013" spans="4:4" x14ac:dyDescent="0.45">
      <c r="D5013" s="47"/>
    </row>
    <row r="5014" spans="4:4" x14ac:dyDescent="0.45">
      <c r="D5014" s="47"/>
    </row>
    <row r="5015" spans="4:4" x14ac:dyDescent="0.45">
      <c r="D5015" s="47"/>
    </row>
    <row r="5016" spans="4:4" x14ac:dyDescent="0.45">
      <c r="D5016" s="47"/>
    </row>
    <row r="5017" spans="4:4" x14ac:dyDescent="0.45">
      <c r="D5017" s="47"/>
    </row>
    <row r="5018" spans="4:4" x14ac:dyDescent="0.45">
      <c r="D5018" s="47"/>
    </row>
    <row r="5019" spans="4:4" x14ac:dyDescent="0.45">
      <c r="D5019" s="47"/>
    </row>
    <row r="5020" spans="4:4" x14ac:dyDescent="0.45">
      <c r="D5020" s="47"/>
    </row>
    <row r="5021" spans="4:4" x14ac:dyDescent="0.45">
      <c r="D5021" s="47"/>
    </row>
    <row r="5022" spans="4:4" x14ac:dyDescent="0.45">
      <c r="D5022" s="47"/>
    </row>
    <row r="5023" spans="4:4" x14ac:dyDescent="0.45">
      <c r="D5023" s="47"/>
    </row>
    <row r="5024" spans="4:4" x14ac:dyDescent="0.45">
      <c r="D5024" s="47"/>
    </row>
    <row r="5025" spans="4:4" x14ac:dyDescent="0.45">
      <c r="D5025" s="47"/>
    </row>
    <row r="5026" spans="4:4" x14ac:dyDescent="0.45">
      <c r="D5026" s="47"/>
    </row>
    <row r="5027" spans="4:4" x14ac:dyDescent="0.45">
      <c r="D5027" s="47"/>
    </row>
    <row r="5028" spans="4:4" x14ac:dyDescent="0.45">
      <c r="D5028" s="47"/>
    </row>
    <row r="5029" spans="4:4" x14ac:dyDescent="0.45">
      <c r="D5029" s="47"/>
    </row>
    <row r="5030" spans="4:4" x14ac:dyDescent="0.45">
      <c r="D5030" s="47"/>
    </row>
    <row r="5031" spans="4:4" x14ac:dyDescent="0.45">
      <c r="D5031" s="47"/>
    </row>
    <row r="5032" spans="4:4" x14ac:dyDescent="0.45">
      <c r="D5032" s="47"/>
    </row>
    <row r="5033" spans="4:4" x14ac:dyDescent="0.45">
      <c r="D5033" s="47"/>
    </row>
    <row r="5034" spans="4:4" x14ac:dyDescent="0.45">
      <c r="D5034" s="47"/>
    </row>
    <row r="5035" spans="4:4" x14ac:dyDescent="0.45">
      <c r="D5035" s="47"/>
    </row>
    <row r="5036" spans="4:4" x14ac:dyDescent="0.45">
      <c r="D5036" s="47"/>
    </row>
    <row r="5037" spans="4:4" x14ac:dyDescent="0.45">
      <c r="D5037" s="47"/>
    </row>
    <row r="5038" spans="4:4" x14ac:dyDescent="0.45">
      <c r="D5038" s="47"/>
    </row>
    <row r="5039" spans="4:4" x14ac:dyDescent="0.45">
      <c r="D5039" s="47"/>
    </row>
    <row r="5040" spans="4:4" x14ac:dyDescent="0.45">
      <c r="D5040" s="47"/>
    </row>
    <row r="5041" spans="4:4" x14ac:dyDescent="0.45">
      <c r="D5041" s="47"/>
    </row>
    <row r="5042" spans="4:4" x14ac:dyDescent="0.45">
      <c r="D5042" s="47"/>
    </row>
    <row r="5043" spans="4:4" x14ac:dyDescent="0.45">
      <c r="D5043" s="47"/>
    </row>
    <row r="5044" spans="4:4" x14ac:dyDescent="0.45">
      <c r="D5044" s="47"/>
    </row>
    <row r="5045" spans="4:4" x14ac:dyDescent="0.45">
      <c r="D5045" s="47"/>
    </row>
    <row r="5046" spans="4:4" x14ac:dyDescent="0.45">
      <c r="D5046" s="47"/>
    </row>
    <row r="5047" spans="4:4" x14ac:dyDescent="0.45">
      <c r="D5047" s="47"/>
    </row>
    <row r="5048" spans="4:4" x14ac:dyDescent="0.45">
      <c r="D5048" s="47"/>
    </row>
    <row r="5049" spans="4:4" x14ac:dyDescent="0.45">
      <c r="D5049" s="47"/>
    </row>
    <row r="5050" spans="4:4" x14ac:dyDescent="0.45">
      <c r="D5050" s="47"/>
    </row>
    <row r="5051" spans="4:4" x14ac:dyDescent="0.45">
      <c r="D5051" s="47"/>
    </row>
    <row r="5052" spans="4:4" x14ac:dyDescent="0.45">
      <c r="D5052" s="47"/>
    </row>
    <row r="5053" spans="4:4" x14ac:dyDescent="0.45">
      <c r="D5053" s="47"/>
    </row>
    <row r="5054" spans="4:4" x14ac:dyDescent="0.45">
      <c r="D5054" s="47"/>
    </row>
    <row r="5055" spans="4:4" x14ac:dyDescent="0.45">
      <c r="D5055" s="47"/>
    </row>
    <row r="5056" spans="4:4" x14ac:dyDescent="0.45">
      <c r="D5056" s="47"/>
    </row>
    <row r="5057" spans="4:4" x14ac:dyDescent="0.45">
      <c r="D5057" s="47"/>
    </row>
    <row r="5058" spans="4:4" x14ac:dyDescent="0.45">
      <c r="D5058" s="47"/>
    </row>
    <row r="5059" spans="4:4" x14ac:dyDescent="0.45">
      <c r="D5059" s="47"/>
    </row>
    <row r="5060" spans="4:4" x14ac:dyDescent="0.45">
      <c r="D5060" s="47"/>
    </row>
    <row r="5061" spans="4:4" x14ac:dyDescent="0.45">
      <c r="D5061" s="47"/>
    </row>
    <row r="5062" spans="4:4" x14ac:dyDescent="0.45">
      <c r="D5062" s="47"/>
    </row>
    <row r="5063" spans="4:4" x14ac:dyDescent="0.45">
      <c r="D5063" s="47"/>
    </row>
    <row r="5064" spans="4:4" x14ac:dyDescent="0.45">
      <c r="D5064" s="47"/>
    </row>
    <row r="5065" spans="4:4" x14ac:dyDescent="0.45">
      <c r="D5065" s="47"/>
    </row>
    <row r="5066" spans="4:4" x14ac:dyDescent="0.45">
      <c r="D5066" s="47"/>
    </row>
    <row r="5067" spans="4:4" x14ac:dyDescent="0.45">
      <c r="D5067" s="47"/>
    </row>
    <row r="5068" spans="4:4" x14ac:dyDescent="0.45">
      <c r="D5068" s="47"/>
    </row>
    <row r="5069" spans="4:4" x14ac:dyDescent="0.45">
      <c r="D5069" s="47"/>
    </row>
    <row r="5070" spans="4:4" x14ac:dyDescent="0.45">
      <c r="D5070" s="47"/>
    </row>
    <row r="5071" spans="4:4" x14ac:dyDescent="0.45">
      <c r="D5071" s="47"/>
    </row>
    <row r="5072" spans="4:4" x14ac:dyDescent="0.45">
      <c r="D5072" s="47"/>
    </row>
    <row r="5073" spans="4:4" x14ac:dyDescent="0.45">
      <c r="D5073" s="47"/>
    </row>
    <row r="5074" spans="4:4" x14ac:dyDescent="0.45">
      <c r="D5074" s="47"/>
    </row>
    <row r="5075" spans="4:4" x14ac:dyDescent="0.45">
      <c r="D5075" s="47"/>
    </row>
    <row r="5076" spans="4:4" x14ac:dyDescent="0.45">
      <c r="D5076" s="47"/>
    </row>
    <row r="5077" spans="4:4" x14ac:dyDescent="0.45">
      <c r="D5077" s="47"/>
    </row>
    <row r="5078" spans="4:4" x14ac:dyDescent="0.45">
      <c r="D5078" s="47"/>
    </row>
    <row r="5079" spans="4:4" x14ac:dyDescent="0.45">
      <c r="D5079" s="47"/>
    </row>
    <row r="5080" spans="4:4" x14ac:dyDescent="0.45">
      <c r="D5080" s="47"/>
    </row>
    <row r="5081" spans="4:4" x14ac:dyDescent="0.45">
      <c r="D5081" s="47"/>
    </row>
    <row r="5082" spans="4:4" x14ac:dyDescent="0.45">
      <c r="D5082" s="47"/>
    </row>
    <row r="5083" spans="4:4" x14ac:dyDescent="0.45">
      <c r="D5083" s="47"/>
    </row>
    <row r="5084" spans="4:4" x14ac:dyDescent="0.45">
      <c r="D5084" s="47"/>
    </row>
    <row r="5085" spans="4:4" x14ac:dyDescent="0.45">
      <c r="D5085" s="47"/>
    </row>
    <row r="5086" spans="4:4" x14ac:dyDescent="0.45">
      <c r="D5086" s="47"/>
    </row>
    <row r="5087" spans="4:4" x14ac:dyDescent="0.45">
      <c r="D5087" s="47"/>
    </row>
    <row r="5088" spans="4:4" x14ac:dyDescent="0.45">
      <c r="D5088" s="47"/>
    </row>
    <row r="5089" spans="4:4" x14ac:dyDescent="0.45">
      <c r="D5089" s="47"/>
    </row>
    <row r="5090" spans="4:4" x14ac:dyDescent="0.45">
      <c r="D5090" s="47"/>
    </row>
    <row r="5091" spans="4:4" x14ac:dyDescent="0.45">
      <c r="D5091" s="47"/>
    </row>
    <row r="5092" spans="4:4" x14ac:dyDescent="0.45">
      <c r="D5092" s="47"/>
    </row>
    <row r="5093" spans="4:4" x14ac:dyDescent="0.45">
      <c r="D5093" s="47"/>
    </row>
    <row r="5094" spans="4:4" x14ac:dyDescent="0.45">
      <c r="D5094" s="47"/>
    </row>
    <row r="5095" spans="4:4" x14ac:dyDescent="0.45">
      <c r="D5095" s="47"/>
    </row>
    <row r="5096" spans="4:4" x14ac:dyDescent="0.45">
      <c r="D5096" s="47"/>
    </row>
    <row r="5097" spans="4:4" x14ac:dyDescent="0.45">
      <c r="D5097" s="47"/>
    </row>
    <row r="5098" spans="4:4" x14ac:dyDescent="0.45">
      <c r="D5098" s="47"/>
    </row>
    <row r="5099" spans="4:4" x14ac:dyDescent="0.45">
      <c r="D5099" s="47"/>
    </row>
    <row r="5100" spans="4:4" x14ac:dyDescent="0.45">
      <c r="D5100" s="47"/>
    </row>
    <row r="5101" spans="4:4" x14ac:dyDescent="0.45">
      <c r="D5101" s="47"/>
    </row>
    <row r="5102" spans="4:4" x14ac:dyDescent="0.45">
      <c r="D5102" s="47"/>
    </row>
    <row r="5103" spans="4:4" x14ac:dyDescent="0.45">
      <c r="D5103" s="47"/>
    </row>
    <row r="5104" spans="4:4" x14ac:dyDescent="0.45">
      <c r="D5104" s="47"/>
    </row>
    <row r="5105" spans="4:4" x14ac:dyDescent="0.45">
      <c r="D5105" s="47"/>
    </row>
    <row r="5106" spans="4:4" x14ac:dyDescent="0.45">
      <c r="D5106" s="47"/>
    </row>
    <row r="5107" spans="4:4" x14ac:dyDescent="0.45">
      <c r="D5107" s="47"/>
    </row>
    <row r="5108" spans="4:4" x14ac:dyDescent="0.45">
      <c r="D5108" s="47"/>
    </row>
    <row r="5109" spans="4:4" x14ac:dyDescent="0.45">
      <c r="D5109" s="47"/>
    </row>
    <row r="5110" spans="4:4" x14ac:dyDescent="0.45">
      <c r="D5110" s="47"/>
    </row>
    <row r="5111" spans="4:4" x14ac:dyDescent="0.45">
      <c r="D5111" s="47"/>
    </row>
    <row r="5112" spans="4:4" x14ac:dyDescent="0.45">
      <c r="D5112" s="47"/>
    </row>
    <row r="5113" spans="4:4" x14ac:dyDescent="0.45">
      <c r="D5113" s="47"/>
    </row>
    <row r="5114" spans="4:4" x14ac:dyDescent="0.45">
      <c r="D5114" s="47"/>
    </row>
    <row r="5115" spans="4:4" x14ac:dyDescent="0.45">
      <c r="D5115" s="47"/>
    </row>
    <row r="5116" spans="4:4" x14ac:dyDescent="0.45">
      <c r="D5116" s="47"/>
    </row>
    <row r="5117" spans="4:4" x14ac:dyDescent="0.45">
      <c r="D5117" s="47"/>
    </row>
    <row r="5118" spans="4:4" x14ac:dyDescent="0.45">
      <c r="D5118" s="47"/>
    </row>
    <row r="5119" spans="4:4" x14ac:dyDescent="0.45">
      <c r="D5119" s="47"/>
    </row>
    <row r="5120" spans="4:4" x14ac:dyDescent="0.45">
      <c r="D5120" s="47"/>
    </row>
    <row r="5121" spans="4:4" x14ac:dyDescent="0.45">
      <c r="D5121" s="47"/>
    </row>
    <row r="5122" spans="4:4" x14ac:dyDescent="0.45">
      <c r="D5122" s="47"/>
    </row>
    <row r="5123" spans="4:4" x14ac:dyDescent="0.45">
      <c r="D5123" s="47"/>
    </row>
    <row r="5124" spans="4:4" x14ac:dyDescent="0.45">
      <c r="D5124" s="47"/>
    </row>
    <row r="5125" spans="4:4" x14ac:dyDescent="0.45">
      <c r="D5125" s="47"/>
    </row>
    <row r="5126" spans="4:4" x14ac:dyDescent="0.45">
      <c r="D5126" s="47"/>
    </row>
    <row r="5127" spans="4:4" x14ac:dyDescent="0.45">
      <c r="D5127" s="47"/>
    </row>
    <row r="5128" spans="4:4" x14ac:dyDescent="0.45">
      <c r="D5128" s="47"/>
    </row>
    <row r="5129" spans="4:4" x14ac:dyDescent="0.45">
      <c r="D5129" s="47"/>
    </row>
    <row r="5130" spans="4:4" x14ac:dyDescent="0.45">
      <c r="D5130" s="47"/>
    </row>
    <row r="5131" spans="4:4" x14ac:dyDescent="0.45">
      <c r="D5131" s="47"/>
    </row>
    <row r="5132" spans="4:4" x14ac:dyDescent="0.45">
      <c r="D5132" s="47"/>
    </row>
    <row r="5133" spans="4:4" x14ac:dyDescent="0.45">
      <c r="D5133" s="47"/>
    </row>
    <row r="5134" spans="4:4" x14ac:dyDescent="0.45">
      <c r="D5134" s="47"/>
    </row>
    <row r="5135" spans="4:4" x14ac:dyDescent="0.45">
      <c r="D5135" s="47"/>
    </row>
    <row r="5136" spans="4:4" x14ac:dyDescent="0.45">
      <c r="D5136" s="47"/>
    </row>
    <row r="5137" spans="4:4" x14ac:dyDescent="0.45">
      <c r="D5137" s="47"/>
    </row>
    <row r="5138" spans="4:4" x14ac:dyDescent="0.45">
      <c r="D5138" s="47"/>
    </row>
    <row r="5139" spans="4:4" x14ac:dyDescent="0.45">
      <c r="D5139" s="47"/>
    </row>
    <row r="5140" spans="4:4" x14ac:dyDescent="0.45">
      <c r="D5140" s="47"/>
    </row>
    <row r="5141" spans="4:4" x14ac:dyDescent="0.45">
      <c r="D5141" s="47"/>
    </row>
    <row r="5142" spans="4:4" x14ac:dyDescent="0.45">
      <c r="D5142" s="47"/>
    </row>
    <row r="5143" spans="4:4" x14ac:dyDescent="0.45">
      <c r="D5143" s="47"/>
    </row>
    <row r="5144" spans="4:4" x14ac:dyDescent="0.45">
      <c r="D5144" s="47"/>
    </row>
    <row r="5145" spans="4:4" x14ac:dyDescent="0.45">
      <c r="D5145" s="47"/>
    </row>
    <row r="5146" spans="4:4" x14ac:dyDescent="0.45">
      <c r="D5146" s="47"/>
    </row>
    <row r="5147" spans="4:4" x14ac:dyDescent="0.45">
      <c r="D5147" s="47"/>
    </row>
    <row r="5148" spans="4:4" x14ac:dyDescent="0.45">
      <c r="D5148" s="47"/>
    </row>
    <row r="5149" spans="4:4" x14ac:dyDescent="0.45">
      <c r="D5149" s="47"/>
    </row>
    <row r="5150" spans="4:4" x14ac:dyDescent="0.45">
      <c r="D5150" s="47"/>
    </row>
    <row r="5151" spans="4:4" x14ac:dyDescent="0.45">
      <c r="D5151" s="47"/>
    </row>
    <row r="5152" spans="4:4" x14ac:dyDescent="0.45">
      <c r="D5152" s="47"/>
    </row>
    <row r="5153" spans="4:4" x14ac:dyDescent="0.45">
      <c r="D5153" s="47"/>
    </row>
    <row r="5154" spans="4:4" x14ac:dyDescent="0.45">
      <c r="D5154" s="47"/>
    </row>
    <row r="5155" spans="4:4" x14ac:dyDescent="0.45">
      <c r="D5155" s="47"/>
    </row>
    <row r="5156" spans="4:4" x14ac:dyDescent="0.45">
      <c r="D5156" s="47"/>
    </row>
    <row r="5157" spans="4:4" x14ac:dyDescent="0.45">
      <c r="D5157" s="47"/>
    </row>
    <row r="5158" spans="4:4" x14ac:dyDescent="0.45">
      <c r="D5158" s="47"/>
    </row>
    <row r="5159" spans="4:4" x14ac:dyDescent="0.45">
      <c r="D5159" s="47"/>
    </row>
    <row r="5160" spans="4:4" x14ac:dyDescent="0.45">
      <c r="D5160" s="47"/>
    </row>
    <row r="5161" spans="4:4" x14ac:dyDescent="0.45">
      <c r="D5161" s="47"/>
    </row>
    <row r="5162" spans="4:4" x14ac:dyDescent="0.45">
      <c r="D5162" s="47"/>
    </row>
    <row r="5163" spans="4:4" x14ac:dyDescent="0.45">
      <c r="D5163" s="47"/>
    </row>
    <row r="5164" spans="4:4" x14ac:dyDescent="0.45">
      <c r="D5164" s="47"/>
    </row>
    <row r="5165" spans="4:4" x14ac:dyDescent="0.45">
      <c r="D5165" s="47"/>
    </row>
    <row r="5166" spans="4:4" x14ac:dyDescent="0.45">
      <c r="D5166" s="47"/>
    </row>
    <row r="5167" spans="4:4" x14ac:dyDescent="0.45">
      <c r="D5167" s="47"/>
    </row>
    <row r="5168" spans="4:4" x14ac:dyDescent="0.45">
      <c r="D5168" s="47"/>
    </row>
    <row r="5169" spans="4:4" x14ac:dyDescent="0.45">
      <c r="D5169" s="47"/>
    </row>
    <row r="5170" spans="4:4" x14ac:dyDescent="0.45">
      <c r="D5170" s="47"/>
    </row>
    <row r="5171" spans="4:4" x14ac:dyDescent="0.45">
      <c r="D5171" s="47"/>
    </row>
    <row r="5172" spans="4:4" x14ac:dyDescent="0.45">
      <c r="D5172" s="47"/>
    </row>
    <row r="5173" spans="4:4" x14ac:dyDescent="0.45">
      <c r="D5173" s="47"/>
    </row>
    <row r="5174" spans="4:4" x14ac:dyDescent="0.45">
      <c r="D5174" s="47"/>
    </row>
    <row r="5175" spans="4:4" x14ac:dyDescent="0.45">
      <c r="D5175" s="47"/>
    </row>
    <row r="5176" spans="4:4" x14ac:dyDescent="0.45">
      <c r="D5176" s="47"/>
    </row>
    <row r="5177" spans="4:4" x14ac:dyDescent="0.45">
      <c r="D5177" s="47"/>
    </row>
    <row r="5178" spans="4:4" x14ac:dyDescent="0.45">
      <c r="D5178" s="47"/>
    </row>
    <row r="5179" spans="4:4" x14ac:dyDescent="0.45">
      <c r="D5179" s="47"/>
    </row>
    <row r="5180" spans="4:4" x14ac:dyDescent="0.45">
      <c r="D5180" s="47"/>
    </row>
    <row r="5181" spans="4:4" x14ac:dyDescent="0.45">
      <c r="D5181" s="47"/>
    </row>
    <row r="5182" spans="4:4" x14ac:dyDescent="0.45">
      <c r="D5182" s="47"/>
    </row>
    <row r="5183" spans="4:4" x14ac:dyDescent="0.45">
      <c r="D5183" s="47"/>
    </row>
    <row r="5184" spans="4:4" x14ac:dyDescent="0.45">
      <c r="D5184" s="47"/>
    </row>
    <row r="5185" spans="4:4" x14ac:dyDescent="0.45">
      <c r="D5185" s="47"/>
    </row>
    <row r="5186" spans="4:4" x14ac:dyDescent="0.45">
      <c r="D5186" s="47"/>
    </row>
    <row r="5187" spans="4:4" x14ac:dyDescent="0.45">
      <c r="D5187" s="47"/>
    </row>
    <row r="5188" spans="4:4" x14ac:dyDescent="0.45">
      <c r="D5188" s="47"/>
    </row>
    <row r="5189" spans="4:4" x14ac:dyDescent="0.45">
      <c r="D5189" s="47"/>
    </row>
    <row r="5190" spans="4:4" x14ac:dyDescent="0.45">
      <c r="D5190" s="47"/>
    </row>
    <row r="5191" spans="4:4" x14ac:dyDescent="0.45">
      <c r="D5191" s="47"/>
    </row>
    <row r="5192" spans="4:4" x14ac:dyDescent="0.45">
      <c r="D5192" s="47"/>
    </row>
    <row r="5193" spans="4:4" x14ac:dyDescent="0.45">
      <c r="D5193" s="47"/>
    </row>
    <row r="5194" spans="4:4" x14ac:dyDescent="0.45">
      <c r="D5194" s="47"/>
    </row>
    <row r="5195" spans="4:4" x14ac:dyDescent="0.45">
      <c r="D5195" s="47"/>
    </row>
    <row r="5196" spans="4:4" x14ac:dyDescent="0.45">
      <c r="D5196" s="47"/>
    </row>
    <row r="5197" spans="4:4" x14ac:dyDescent="0.45">
      <c r="D5197" s="47"/>
    </row>
    <row r="5198" spans="4:4" x14ac:dyDescent="0.45">
      <c r="D5198" s="47"/>
    </row>
    <row r="5199" spans="4:4" x14ac:dyDescent="0.45">
      <c r="D5199" s="47"/>
    </row>
    <row r="5200" spans="4:4" x14ac:dyDescent="0.45">
      <c r="D5200" s="47"/>
    </row>
    <row r="5201" spans="4:4" x14ac:dyDescent="0.45">
      <c r="D5201" s="47"/>
    </row>
    <row r="5202" spans="4:4" x14ac:dyDescent="0.45">
      <c r="D5202" s="47"/>
    </row>
    <row r="5203" spans="4:4" x14ac:dyDescent="0.45">
      <c r="D5203" s="47"/>
    </row>
    <row r="5204" spans="4:4" x14ac:dyDescent="0.45">
      <c r="D5204" s="47"/>
    </row>
    <row r="5205" spans="4:4" x14ac:dyDescent="0.45">
      <c r="D5205" s="47"/>
    </row>
    <row r="5206" spans="4:4" x14ac:dyDescent="0.45">
      <c r="D5206" s="47"/>
    </row>
    <row r="5207" spans="4:4" x14ac:dyDescent="0.45">
      <c r="D5207" s="47"/>
    </row>
    <row r="5208" spans="4:4" x14ac:dyDescent="0.45">
      <c r="D5208" s="47"/>
    </row>
    <row r="5209" spans="4:4" x14ac:dyDescent="0.45">
      <c r="D5209" s="47"/>
    </row>
    <row r="5210" spans="4:4" x14ac:dyDescent="0.45">
      <c r="D5210" s="47"/>
    </row>
    <row r="5211" spans="4:4" x14ac:dyDescent="0.45">
      <c r="D5211" s="47"/>
    </row>
    <row r="5212" spans="4:4" x14ac:dyDescent="0.45">
      <c r="D5212" s="47"/>
    </row>
    <row r="5213" spans="4:4" x14ac:dyDescent="0.45">
      <c r="D5213" s="47"/>
    </row>
    <row r="5214" spans="4:4" x14ac:dyDescent="0.45">
      <c r="D5214" s="47"/>
    </row>
    <row r="5215" spans="4:4" x14ac:dyDescent="0.45">
      <c r="D5215" s="47"/>
    </row>
    <row r="5216" spans="4:4" x14ac:dyDescent="0.45">
      <c r="D5216" s="47"/>
    </row>
    <row r="5217" spans="4:4" x14ac:dyDescent="0.45">
      <c r="D5217" s="47"/>
    </row>
    <row r="5218" spans="4:4" x14ac:dyDescent="0.45">
      <c r="D5218" s="47"/>
    </row>
    <row r="5219" spans="4:4" x14ac:dyDescent="0.45">
      <c r="D5219" s="47"/>
    </row>
    <row r="5220" spans="4:4" x14ac:dyDescent="0.45">
      <c r="D5220" s="47"/>
    </row>
    <row r="5221" spans="4:4" x14ac:dyDescent="0.45">
      <c r="D5221" s="47"/>
    </row>
    <row r="5222" spans="4:4" x14ac:dyDescent="0.45">
      <c r="D5222" s="47"/>
    </row>
    <row r="5223" spans="4:4" x14ac:dyDescent="0.45">
      <c r="D5223" s="47"/>
    </row>
    <row r="5224" spans="4:4" x14ac:dyDescent="0.45">
      <c r="D5224" s="47"/>
    </row>
    <row r="5225" spans="4:4" x14ac:dyDescent="0.45">
      <c r="D5225" s="47"/>
    </row>
    <row r="5226" spans="4:4" x14ac:dyDescent="0.45">
      <c r="D5226" s="47"/>
    </row>
    <row r="5227" spans="4:4" x14ac:dyDescent="0.45">
      <c r="D5227" s="47"/>
    </row>
    <row r="5228" spans="4:4" x14ac:dyDescent="0.45">
      <c r="D5228" s="47"/>
    </row>
    <row r="5229" spans="4:4" x14ac:dyDescent="0.45">
      <c r="D5229" s="47"/>
    </row>
    <row r="5230" spans="4:4" x14ac:dyDescent="0.45">
      <c r="D5230" s="47"/>
    </row>
    <row r="5231" spans="4:4" x14ac:dyDescent="0.45">
      <c r="D5231" s="47"/>
    </row>
    <row r="5232" spans="4:4" x14ac:dyDescent="0.45">
      <c r="D5232" s="47"/>
    </row>
    <row r="5233" spans="4:4" x14ac:dyDescent="0.45">
      <c r="D5233" s="47"/>
    </row>
    <row r="5234" spans="4:4" x14ac:dyDescent="0.45">
      <c r="D5234" s="47"/>
    </row>
    <row r="5235" spans="4:4" x14ac:dyDescent="0.45">
      <c r="D5235" s="47"/>
    </row>
    <row r="5236" spans="4:4" x14ac:dyDescent="0.45">
      <c r="D5236" s="47"/>
    </row>
    <row r="5237" spans="4:4" x14ac:dyDescent="0.45">
      <c r="D5237" s="47"/>
    </row>
    <row r="5238" spans="4:4" x14ac:dyDescent="0.45">
      <c r="D5238" s="47"/>
    </row>
    <row r="5239" spans="4:4" x14ac:dyDescent="0.45">
      <c r="D5239" s="47"/>
    </row>
    <row r="5240" spans="4:4" x14ac:dyDescent="0.45">
      <c r="D5240" s="47"/>
    </row>
    <row r="5241" spans="4:4" x14ac:dyDescent="0.45">
      <c r="D5241" s="47"/>
    </row>
    <row r="5242" spans="4:4" x14ac:dyDescent="0.45">
      <c r="D5242" s="47"/>
    </row>
    <row r="5243" spans="4:4" x14ac:dyDescent="0.45">
      <c r="D5243" s="47"/>
    </row>
    <row r="5244" spans="4:4" x14ac:dyDescent="0.45">
      <c r="D5244" s="47"/>
    </row>
    <row r="5245" spans="4:4" x14ac:dyDescent="0.45">
      <c r="D5245" s="47"/>
    </row>
    <row r="5246" spans="4:4" x14ac:dyDescent="0.45">
      <c r="D5246" s="47"/>
    </row>
    <row r="5247" spans="4:4" x14ac:dyDescent="0.45">
      <c r="D5247" s="47"/>
    </row>
    <row r="5248" spans="4:4" x14ac:dyDescent="0.45">
      <c r="D5248" s="47"/>
    </row>
    <row r="5249" spans="4:4" x14ac:dyDescent="0.45">
      <c r="D5249" s="47"/>
    </row>
    <row r="5250" spans="4:4" x14ac:dyDescent="0.45">
      <c r="D5250" s="47"/>
    </row>
    <row r="5251" spans="4:4" x14ac:dyDescent="0.45">
      <c r="D5251" s="47"/>
    </row>
    <row r="5252" spans="4:4" x14ac:dyDescent="0.45">
      <c r="D5252" s="47"/>
    </row>
    <row r="5253" spans="4:4" x14ac:dyDescent="0.45">
      <c r="D5253" s="47"/>
    </row>
    <row r="5254" spans="4:4" x14ac:dyDescent="0.45">
      <c r="D5254" s="47"/>
    </row>
    <row r="5255" spans="4:4" x14ac:dyDescent="0.45">
      <c r="D5255" s="47"/>
    </row>
    <row r="5256" spans="4:4" x14ac:dyDescent="0.45">
      <c r="D5256" s="47"/>
    </row>
    <row r="5257" spans="4:4" x14ac:dyDescent="0.45">
      <c r="D5257" s="47"/>
    </row>
    <row r="5258" spans="4:4" x14ac:dyDescent="0.45">
      <c r="D5258" s="47"/>
    </row>
    <row r="5259" spans="4:4" x14ac:dyDescent="0.45">
      <c r="D5259" s="47"/>
    </row>
    <row r="5260" spans="4:4" x14ac:dyDescent="0.45">
      <c r="D5260" s="47"/>
    </row>
    <row r="5261" spans="4:4" x14ac:dyDescent="0.45">
      <c r="D5261" s="47"/>
    </row>
    <row r="5262" spans="4:4" x14ac:dyDescent="0.45">
      <c r="D5262" s="47"/>
    </row>
    <row r="5263" spans="4:4" x14ac:dyDescent="0.45">
      <c r="D5263" s="47"/>
    </row>
    <row r="5264" spans="4:4" x14ac:dyDescent="0.45">
      <c r="D5264" s="47"/>
    </row>
    <row r="5265" spans="4:4" x14ac:dyDescent="0.45">
      <c r="D5265" s="47"/>
    </row>
    <row r="5266" spans="4:4" x14ac:dyDescent="0.45">
      <c r="D5266" s="47"/>
    </row>
    <row r="5267" spans="4:4" x14ac:dyDescent="0.45">
      <c r="D5267" s="47"/>
    </row>
    <row r="5268" spans="4:4" x14ac:dyDescent="0.45">
      <c r="D5268" s="47"/>
    </row>
    <row r="5269" spans="4:4" x14ac:dyDescent="0.45">
      <c r="D5269" s="47"/>
    </row>
    <row r="5270" spans="4:4" x14ac:dyDescent="0.45">
      <c r="D5270" s="47"/>
    </row>
    <row r="5271" spans="4:4" x14ac:dyDescent="0.45">
      <c r="D5271" s="47"/>
    </row>
    <row r="5272" spans="4:4" x14ac:dyDescent="0.45">
      <c r="D5272" s="47"/>
    </row>
    <row r="5273" spans="4:4" x14ac:dyDescent="0.45">
      <c r="D5273" s="47"/>
    </row>
    <row r="5274" spans="4:4" x14ac:dyDescent="0.45">
      <c r="D5274" s="47"/>
    </row>
    <row r="5275" spans="4:4" x14ac:dyDescent="0.45">
      <c r="D5275" s="47"/>
    </row>
    <row r="5276" spans="4:4" x14ac:dyDescent="0.45">
      <c r="D5276" s="47"/>
    </row>
    <row r="5277" spans="4:4" x14ac:dyDescent="0.45">
      <c r="D5277" s="47"/>
    </row>
    <row r="5278" spans="4:4" x14ac:dyDescent="0.45">
      <c r="D5278" s="47"/>
    </row>
    <row r="5279" spans="4:4" x14ac:dyDescent="0.45">
      <c r="D5279" s="47"/>
    </row>
    <row r="5280" spans="4:4" x14ac:dyDescent="0.45">
      <c r="D5280" s="47"/>
    </row>
    <row r="5281" spans="4:4" x14ac:dyDescent="0.45">
      <c r="D5281" s="47"/>
    </row>
    <row r="5282" spans="4:4" x14ac:dyDescent="0.45">
      <c r="D5282" s="47"/>
    </row>
    <row r="5283" spans="4:4" x14ac:dyDescent="0.45">
      <c r="D5283" s="47"/>
    </row>
    <row r="5284" spans="4:4" x14ac:dyDescent="0.45">
      <c r="D5284" s="47"/>
    </row>
    <row r="5285" spans="4:4" x14ac:dyDescent="0.45">
      <c r="D5285" s="47"/>
    </row>
    <row r="5286" spans="4:4" x14ac:dyDescent="0.45">
      <c r="D5286" s="47"/>
    </row>
    <row r="5287" spans="4:4" x14ac:dyDescent="0.45">
      <c r="D5287" s="47"/>
    </row>
    <row r="5288" spans="4:4" x14ac:dyDescent="0.45">
      <c r="D5288" s="47"/>
    </row>
    <row r="5289" spans="4:4" x14ac:dyDescent="0.45">
      <c r="D5289" s="47"/>
    </row>
    <row r="5290" spans="4:4" x14ac:dyDescent="0.45">
      <c r="D5290" s="47"/>
    </row>
    <row r="5291" spans="4:4" x14ac:dyDescent="0.45">
      <c r="D5291" s="47"/>
    </row>
    <row r="5292" spans="4:4" x14ac:dyDescent="0.45">
      <c r="D5292" s="47"/>
    </row>
    <row r="5293" spans="4:4" x14ac:dyDescent="0.45">
      <c r="D5293" s="47"/>
    </row>
    <row r="5294" spans="4:4" x14ac:dyDescent="0.45">
      <c r="D5294" s="47"/>
    </row>
    <row r="5295" spans="4:4" x14ac:dyDescent="0.45">
      <c r="D5295" s="47"/>
    </row>
    <row r="5296" spans="4:4" x14ac:dyDescent="0.45">
      <c r="D5296" s="47"/>
    </row>
    <row r="5297" spans="4:4" x14ac:dyDescent="0.45">
      <c r="D5297" s="47"/>
    </row>
    <row r="5298" spans="4:4" x14ac:dyDescent="0.45">
      <c r="D5298" s="47"/>
    </row>
    <row r="5299" spans="4:4" x14ac:dyDescent="0.45">
      <c r="D5299" s="47"/>
    </row>
    <row r="5300" spans="4:4" x14ac:dyDescent="0.45">
      <c r="D5300" s="47"/>
    </row>
    <row r="5301" spans="4:4" x14ac:dyDescent="0.45">
      <c r="D5301" s="47"/>
    </row>
    <row r="5302" spans="4:4" x14ac:dyDescent="0.45">
      <c r="D5302" s="47"/>
    </row>
    <row r="5303" spans="4:4" x14ac:dyDescent="0.45">
      <c r="D5303" s="47"/>
    </row>
    <row r="5304" spans="4:4" x14ac:dyDescent="0.45">
      <c r="D5304" s="47"/>
    </row>
    <row r="5305" spans="4:4" x14ac:dyDescent="0.45">
      <c r="D5305" s="47"/>
    </row>
    <row r="5306" spans="4:4" x14ac:dyDescent="0.45">
      <c r="D5306" s="47"/>
    </row>
    <row r="5307" spans="4:4" x14ac:dyDescent="0.45">
      <c r="D5307" s="47"/>
    </row>
    <row r="5308" spans="4:4" x14ac:dyDescent="0.45">
      <c r="D5308" s="47"/>
    </row>
    <row r="5309" spans="4:4" x14ac:dyDescent="0.45">
      <c r="D5309" s="47"/>
    </row>
    <row r="5310" spans="4:4" x14ac:dyDescent="0.45">
      <c r="D5310" s="47"/>
    </row>
    <row r="5311" spans="4:4" x14ac:dyDescent="0.45">
      <c r="D5311" s="47"/>
    </row>
    <row r="5312" spans="4:4" x14ac:dyDescent="0.45">
      <c r="D5312" s="47"/>
    </row>
    <row r="5313" spans="4:4" x14ac:dyDescent="0.45">
      <c r="D5313" s="47"/>
    </row>
    <row r="5314" spans="4:4" x14ac:dyDescent="0.45">
      <c r="D5314" s="47"/>
    </row>
    <row r="5315" spans="4:4" x14ac:dyDescent="0.45">
      <c r="D5315" s="47"/>
    </row>
    <row r="5316" spans="4:4" x14ac:dyDescent="0.45">
      <c r="D5316" s="47"/>
    </row>
    <row r="5317" spans="4:4" x14ac:dyDescent="0.45">
      <c r="D5317" s="47"/>
    </row>
    <row r="5318" spans="4:4" x14ac:dyDescent="0.45">
      <c r="D5318" s="47"/>
    </row>
    <row r="5319" spans="4:4" x14ac:dyDescent="0.45">
      <c r="D5319" s="47"/>
    </row>
    <row r="5320" spans="4:4" x14ac:dyDescent="0.45">
      <c r="D5320" s="47"/>
    </row>
    <row r="5321" spans="4:4" x14ac:dyDescent="0.45">
      <c r="D5321" s="47"/>
    </row>
    <row r="5322" spans="4:4" x14ac:dyDescent="0.45">
      <c r="D5322" s="47"/>
    </row>
    <row r="5323" spans="4:4" x14ac:dyDescent="0.45">
      <c r="D5323" s="47"/>
    </row>
    <row r="5324" spans="4:4" x14ac:dyDescent="0.45">
      <c r="D5324" s="47"/>
    </row>
    <row r="5325" spans="4:4" x14ac:dyDescent="0.45">
      <c r="D5325" s="47"/>
    </row>
    <row r="5326" spans="4:4" x14ac:dyDescent="0.45">
      <c r="D5326" s="47"/>
    </row>
    <row r="5327" spans="4:4" x14ac:dyDescent="0.45">
      <c r="D5327" s="47"/>
    </row>
    <row r="5328" spans="4:4" x14ac:dyDescent="0.45">
      <c r="D5328" s="47"/>
    </row>
    <row r="5329" spans="4:4" x14ac:dyDescent="0.45">
      <c r="D5329" s="47"/>
    </row>
    <row r="5330" spans="4:4" x14ac:dyDescent="0.45">
      <c r="D5330" s="47"/>
    </row>
    <row r="5331" spans="4:4" x14ac:dyDescent="0.45">
      <c r="D5331" s="47"/>
    </row>
    <row r="5332" spans="4:4" x14ac:dyDescent="0.45">
      <c r="D5332" s="47"/>
    </row>
    <row r="5333" spans="4:4" x14ac:dyDescent="0.45">
      <c r="D5333" s="47"/>
    </row>
    <row r="5334" spans="4:4" x14ac:dyDescent="0.45">
      <c r="D5334" s="47"/>
    </row>
    <row r="5335" spans="4:4" x14ac:dyDescent="0.45">
      <c r="D5335" s="47"/>
    </row>
    <row r="5336" spans="4:4" x14ac:dyDescent="0.45">
      <c r="D5336" s="47"/>
    </row>
    <row r="5337" spans="4:4" x14ac:dyDescent="0.45">
      <c r="D5337" s="47"/>
    </row>
    <row r="5338" spans="4:4" x14ac:dyDescent="0.45">
      <c r="D5338" s="47"/>
    </row>
    <row r="5339" spans="4:4" x14ac:dyDescent="0.45">
      <c r="D5339" s="47"/>
    </row>
    <row r="5340" spans="4:4" x14ac:dyDescent="0.45">
      <c r="D5340" s="47"/>
    </row>
    <row r="5341" spans="4:4" x14ac:dyDescent="0.45">
      <c r="D5341" s="47"/>
    </row>
    <row r="5342" spans="4:4" x14ac:dyDescent="0.45">
      <c r="D5342" s="47"/>
    </row>
    <row r="5343" spans="4:4" x14ac:dyDescent="0.45">
      <c r="D5343" s="47"/>
    </row>
    <row r="5344" spans="4:4" x14ac:dyDescent="0.45">
      <c r="D5344" s="47"/>
    </row>
    <row r="5345" spans="4:4" x14ac:dyDescent="0.45">
      <c r="D5345" s="47"/>
    </row>
    <row r="5346" spans="4:4" x14ac:dyDescent="0.45">
      <c r="D5346" s="47"/>
    </row>
    <row r="5347" spans="4:4" x14ac:dyDescent="0.45">
      <c r="D5347" s="47"/>
    </row>
    <row r="5348" spans="4:4" x14ac:dyDescent="0.45">
      <c r="D5348" s="47"/>
    </row>
    <row r="5349" spans="4:4" x14ac:dyDescent="0.45">
      <c r="D5349" s="47"/>
    </row>
    <row r="5350" spans="4:4" x14ac:dyDescent="0.45">
      <c r="D5350" s="47"/>
    </row>
    <row r="5351" spans="4:4" x14ac:dyDescent="0.45">
      <c r="D5351" s="47"/>
    </row>
    <row r="5352" spans="4:4" x14ac:dyDescent="0.45">
      <c r="D5352" s="47"/>
    </row>
    <row r="5353" spans="4:4" x14ac:dyDescent="0.45">
      <c r="D5353" s="47"/>
    </row>
    <row r="5354" spans="4:4" x14ac:dyDescent="0.45">
      <c r="D5354" s="47"/>
    </row>
    <row r="5355" spans="4:4" x14ac:dyDescent="0.45">
      <c r="D5355" s="47"/>
    </row>
    <row r="5356" spans="4:4" x14ac:dyDescent="0.45">
      <c r="D5356" s="47"/>
    </row>
    <row r="5357" spans="4:4" x14ac:dyDescent="0.45">
      <c r="D5357" s="47"/>
    </row>
    <row r="5358" spans="4:4" x14ac:dyDescent="0.45">
      <c r="D5358" s="47"/>
    </row>
    <row r="5359" spans="4:4" x14ac:dyDescent="0.45">
      <c r="D5359" s="47"/>
    </row>
    <row r="5360" spans="4:4" x14ac:dyDescent="0.45">
      <c r="D5360" s="47"/>
    </row>
    <row r="5361" spans="4:4" x14ac:dyDescent="0.45">
      <c r="D5361" s="47"/>
    </row>
    <row r="5362" spans="4:4" x14ac:dyDescent="0.45">
      <c r="D5362" s="47"/>
    </row>
    <row r="5363" spans="4:4" x14ac:dyDescent="0.45">
      <c r="D5363" s="47"/>
    </row>
    <row r="5364" spans="4:4" x14ac:dyDescent="0.45">
      <c r="D5364" s="47"/>
    </row>
    <row r="5365" spans="4:4" x14ac:dyDescent="0.45">
      <c r="D5365" s="47"/>
    </row>
    <row r="5366" spans="4:4" x14ac:dyDescent="0.45">
      <c r="D5366" s="47"/>
    </row>
    <row r="5367" spans="4:4" x14ac:dyDescent="0.45">
      <c r="D5367" s="47"/>
    </row>
    <row r="5368" spans="4:4" x14ac:dyDescent="0.45">
      <c r="D5368" s="47"/>
    </row>
    <row r="5369" spans="4:4" x14ac:dyDescent="0.45">
      <c r="D5369" s="47"/>
    </row>
    <row r="5370" spans="4:4" x14ac:dyDescent="0.45">
      <c r="D5370" s="47"/>
    </row>
    <row r="5371" spans="4:4" x14ac:dyDescent="0.45">
      <c r="D5371" s="47"/>
    </row>
    <row r="5372" spans="4:4" x14ac:dyDescent="0.45">
      <c r="D5372" s="47"/>
    </row>
    <row r="5373" spans="4:4" x14ac:dyDescent="0.45">
      <c r="D5373" s="47"/>
    </row>
    <row r="5374" spans="4:4" x14ac:dyDescent="0.45">
      <c r="D5374" s="47"/>
    </row>
    <row r="5375" spans="4:4" x14ac:dyDescent="0.45">
      <c r="D5375" s="47"/>
    </row>
    <row r="5376" spans="4:4" x14ac:dyDescent="0.45">
      <c r="D5376" s="47"/>
    </row>
    <row r="5377" spans="4:4" x14ac:dyDescent="0.45">
      <c r="D5377" s="47"/>
    </row>
    <row r="5378" spans="4:4" x14ac:dyDescent="0.45">
      <c r="D5378" s="47"/>
    </row>
    <row r="5379" spans="4:4" x14ac:dyDescent="0.45">
      <c r="D5379" s="47"/>
    </row>
    <row r="5380" spans="4:4" x14ac:dyDescent="0.45">
      <c r="D5380" s="47"/>
    </row>
    <row r="5381" spans="4:4" x14ac:dyDescent="0.45">
      <c r="D5381" s="47"/>
    </row>
    <row r="5382" spans="4:4" x14ac:dyDescent="0.45">
      <c r="D5382" s="47"/>
    </row>
    <row r="5383" spans="4:4" x14ac:dyDescent="0.45">
      <c r="D5383" s="47"/>
    </row>
    <row r="5384" spans="4:4" x14ac:dyDescent="0.45">
      <c r="D5384" s="47"/>
    </row>
    <row r="5385" spans="4:4" x14ac:dyDescent="0.45">
      <c r="D5385" s="47"/>
    </row>
    <row r="5386" spans="4:4" x14ac:dyDescent="0.45">
      <c r="D5386" s="47"/>
    </row>
    <row r="5387" spans="4:4" x14ac:dyDescent="0.45">
      <c r="D5387" s="47"/>
    </row>
    <row r="5388" spans="4:4" x14ac:dyDescent="0.45">
      <c r="D5388" s="47"/>
    </row>
    <row r="5389" spans="4:4" x14ac:dyDescent="0.45">
      <c r="D5389" s="47"/>
    </row>
    <row r="5390" spans="4:4" x14ac:dyDescent="0.45">
      <c r="D5390" s="47"/>
    </row>
    <row r="5391" spans="4:4" x14ac:dyDescent="0.45">
      <c r="D5391" s="47"/>
    </row>
    <row r="5392" spans="4:4" x14ac:dyDescent="0.45">
      <c r="D5392" s="47"/>
    </row>
    <row r="5393" spans="4:4" x14ac:dyDescent="0.45">
      <c r="D5393" s="47"/>
    </row>
    <row r="5394" spans="4:4" x14ac:dyDescent="0.45">
      <c r="D5394" s="47"/>
    </row>
    <row r="5395" spans="4:4" x14ac:dyDescent="0.45">
      <c r="D5395" s="47"/>
    </row>
    <row r="5396" spans="4:4" x14ac:dyDescent="0.45">
      <c r="D5396" s="47"/>
    </row>
    <row r="5397" spans="4:4" x14ac:dyDescent="0.45">
      <c r="D5397" s="47"/>
    </row>
    <row r="5398" spans="4:4" x14ac:dyDescent="0.45">
      <c r="D5398" s="47"/>
    </row>
    <row r="5399" spans="4:4" x14ac:dyDescent="0.45">
      <c r="D5399" s="47"/>
    </row>
    <row r="5400" spans="4:4" x14ac:dyDescent="0.45">
      <c r="D5400" s="47"/>
    </row>
    <row r="5401" spans="4:4" x14ac:dyDescent="0.45">
      <c r="D5401" s="47"/>
    </row>
    <row r="5402" spans="4:4" x14ac:dyDescent="0.45">
      <c r="D5402" s="47"/>
    </row>
    <row r="5403" spans="4:4" x14ac:dyDescent="0.45">
      <c r="D5403" s="47"/>
    </row>
    <row r="5404" spans="4:4" x14ac:dyDescent="0.45">
      <c r="D5404" s="47"/>
    </row>
    <row r="5405" spans="4:4" x14ac:dyDescent="0.45">
      <c r="D5405" s="47"/>
    </row>
    <row r="5406" spans="4:4" x14ac:dyDescent="0.45">
      <c r="D5406" s="47"/>
    </row>
    <row r="5407" spans="4:4" x14ac:dyDescent="0.45">
      <c r="D5407" s="47"/>
    </row>
    <row r="5408" spans="4:4" x14ac:dyDescent="0.45">
      <c r="D5408" s="47"/>
    </row>
    <row r="5409" spans="4:4" x14ac:dyDescent="0.45">
      <c r="D5409" s="47"/>
    </row>
    <row r="5410" spans="4:4" x14ac:dyDescent="0.45">
      <c r="D5410" s="47"/>
    </row>
    <row r="5411" spans="4:4" x14ac:dyDescent="0.45">
      <c r="D5411" s="47"/>
    </row>
    <row r="5412" spans="4:4" x14ac:dyDescent="0.45">
      <c r="D5412" s="47"/>
    </row>
    <row r="5413" spans="4:4" x14ac:dyDescent="0.45">
      <c r="D5413" s="47"/>
    </row>
    <row r="5414" spans="4:4" x14ac:dyDescent="0.45">
      <c r="D5414" s="47"/>
    </row>
    <row r="5415" spans="4:4" x14ac:dyDescent="0.45">
      <c r="D5415" s="47"/>
    </row>
    <row r="5416" spans="4:4" x14ac:dyDescent="0.45">
      <c r="D5416" s="47"/>
    </row>
    <row r="5417" spans="4:4" x14ac:dyDescent="0.45">
      <c r="D5417" s="47"/>
    </row>
    <row r="5418" spans="4:4" x14ac:dyDescent="0.45">
      <c r="D5418" s="47"/>
    </row>
    <row r="5419" spans="4:4" x14ac:dyDescent="0.45">
      <c r="D5419" s="47"/>
    </row>
    <row r="5420" spans="4:4" x14ac:dyDescent="0.45">
      <c r="D5420" s="47"/>
    </row>
    <row r="5421" spans="4:4" x14ac:dyDescent="0.45">
      <c r="D5421" s="47"/>
    </row>
    <row r="5422" spans="4:4" x14ac:dyDescent="0.45">
      <c r="D5422" s="47"/>
    </row>
    <row r="5423" spans="4:4" x14ac:dyDescent="0.45">
      <c r="D5423" s="47"/>
    </row>
    <row r="5424" spans="4:4" x14ac:dyDescent="0.45">
      <c r="D5424" s="47"/>
    </row>
    <row r="5425" spans="4:4" x14ac:dyDescent="0.45">
      <c r="D5425" s="47"/>
    </row>
    <row r="5426" spans="4:4" x14ac:dyDescent="0.45">
      <c r="D5426" s="47"/>
    </row>
    <row r="5427" spans="4:4" x14ac:dyDescent="0.45">
      <c r="D5427" s="47"/>
    </row>
    <row r="5428" spans="4:4" x14ac:dyDescent="0.45">
      <c r="D5428" s="47"/>
    </row>
    <row r="5429" spans="4:4" x14ac:dyDescent="0.45">
      <c r="D5429" s="47"/>
    </row>
    <row r="5430" spans="4:4" x14ac:dyDescent="0.45">
      <c r="D5430" s="47"/>
    </row>
    <row r="5431" spans="4:4" x14ac:dyDescent="0.45">
      <c r="D5431" s="47"/>
    </row>
    <row r="5432" spans="4:4" x14ac:dyDescent="0.45">
      <c r="D5432" s="47"/>
    </row>
    <row r="5433" spans="4:4" x14ac:dyDescent="0.45">
      <c r="D5433" s="47"/>
    </row>
    <row r="5434" spans="4:4" x14ac:dyDescent="0.45">
      <c r="D5434" s="47"/>
    </row>
    <row r="5435" spans="4:4" x14ac:dyDescent="0.45">
      <c r="D5435" s="47"/>
    </row>
    <row r="5436" spans="4:4" x14ac:dyDescent="0.45">
      <c r="D5436" s="47"/>
    </row>
    <row r="5437" spans="4:4" x14ac:dyDescent="0.45">
      <c r="D5437" s="47"/>
    </row>
    <row r="5438" spans="4:4" x14ac:dyDescent="0.45">
      <c r="D5438" s="47"/>
    </row>
    <row r="5439" spans="4:4" x14ac:dyDescent="0.45">
      <c r="D5439" s="47"/>
    </row>
    <row r="5440" spans="4:4" x14ac:dyDescent="0.45">
      <c r="D5440" s="47"/>
    </row>
    <row r="5441" spans="4:4" x14ac:dyDescent="0.45">
      <c r="D5441" s="47"/>
    </row>
    <row r="5442" spans="4:4" x14ac:dyDescent="0.45">
      <c r="D5442" s="47"/>
    </row>
    <row r="5443" spans="4:4" x14ac:dyDescent="0.45">
      <c r="D5443" s="47"/>
    </row>
    <row r="5444" spans="4:4" x14ac:dyDescent="0.45">
      <c r="D5444" s="47"/>
    </row>
    <row r="5445" spans="4:4" x14ac:dyDescent="0.45">
      <c r="D5445" s="47"/>
    </row>
    <row r="5446" spans="4:4" x14ac:dyDescent="0.45">
      <c r="D5446" s="47"/>
    </row>
    <row r="5447" spans="4:4" x14ac:dyDescent="0.45">
      <c r="D5447" s="47"/>
    </row>
    <row r="5448" spans="4:4" x14ac:dyDescent="0.45">
      <c r="D5448" s="47"/>
    </row>
    <row r="5449" spans="4:4" x14ac:dyDescent="0.45">
      <c r="D5449" s="47"/>
    </row>
    <row r="5450" spans="4:4" x14ac:dyDescent="0.45">
      <c r="D5450" s="47"/>
    </row>
    <row r="5451" spans="4:4" x14ac:dyDescent="0.45">
      <c r="D5451" s="47"/>
    </row>
    <row r="5452" spans="4:4" x14ac:dyDescent="0.45">
      <c r="D5452" s="47"/>
    </row>
    <row r="5453" spans="4:4" x14ac:dyDescent="0.45">
      <c r="D5453" s="47"/>
    </row>
    <row r="5454" spans="4:4" x14ac:dyDescent="0.45">
      <c r="D5454" s="47"/>
    </row>
    <row r="5455" spans="4:4" x14ac:dyDescent="0.45">
      <c r="D5455" s="47"/>
    </row>
    <row r="5456" spans="4:4" x14ac:dyDescent="0.45">
      <c r="D5456" s="47"/>
    </row>
    <row r="5457" spans="4:4" x14ac:dyDescent="0.45">
      <c r="D5457" s="47"/>
    </row>
    <row r="5458" spans="4:4" x14ac:dyDescent="0.45">
      <c r="D5458" s="47"/>
    </row>
    <row r="5459" spans="4:4" x14ac:dyDescent="0.45">
      <c r="D5459" s="47"/>
    </row>
    <row r="5460" spans="4:4" x14ac:dyDescent="0.45">
      <c r="D5460" s="47"/>
    </row>
    <row r="5461" spans="4:4" x14ac:dyDescent="0.45">
      <c r="D5461" s="47"/>
    </row>
    <row r="5462" spans="4:4" x14ac:dyDescent="0.45">
      <c r="D5462" s="47"/>
    </row>
    <row r="5463" spans="4:4" x14ac:dyDescent="0.45">
      <c r="D5463" s="47"/>
    </row>
    <row r="5464" spans="4:4" x14ac:dyDescent="0.45">
      <c r="D5464" s="47"/>
    </row>
    <row r="5465" spans="4:4" x14ac:dyDescent="0.45">
      <c r="D5465" s="47"/>
    </row>
    <row r="5466" spans="4:4" x14ac:dyDescent="0.45">
      <c r="D5466" s="47"/>
    </row>
    <row r="5467" spans="4:4" x14ac:dyDescent="0.45">
      <c r="D5467" s="47"/>
    </row>
    <row r="5468" spans="4:4" x14ac:dyDescent="0.45">
      <c r="D5468" s="47"/>
    </row>
    <row r="5469" spans="4:4" x14ac:dyDescent="0.45">
      <c r="D5469" s="47"/>
    </row>
    <row r="5470" spans="4:4" x14ac:dyDescent="0.45">
      <c r="D5470" s="47"/>
    </row>
    <row r="5471" spans="4:4" x14ac:dyDescent="0.45">
      <c r="D5471" s="47"/>
    </row>
    <row r="5472" spans="4:4" x14ac:dyDescent="0.45">
      <c r="D5472" s="47"/>
    </row>
    <row r="5473" spans="4:4" x14ac:dyDescent="0.45">
      <c r="D5473" s="47"/>
    </row>
    <row r="5474" spans="4:4" x14ac:dyDescent="0.45">
      <c r="D5474" s="47"/>
    </row>
    <row r="5475" spans="4:4" x14ac:dyDescent="0.45">
      <c r="D5475" s="47"/>
    </row>
    <row r="5476" spans="4:4" x14ac:dyDescent="0.45">
      <c r="D5476" s="47"/>
    </row>
    <row r="5477" spans="4:4" x14ac:dyDescent="0.45">
      <c r="D5477" s="47"/>
    </row>
    <row r="5478" spans="4:4" x14ac:dyDescent="0.45">
      <c r="D5478" s="47"/>
    </row>
    <row r="5479" spans="4:4" x14ac:dyDescent="0.45">
      <c r="D5479" s="47"/>
    </row>
    <row r="5480" spans="4:4" x14ac:dyDescent="0.45">
      <c r="D5480" s="47"/>
    </row>
    <row r="5481" spans="4:4" x14ac:dyDescent="0.45">
      <c r="D5481" s="47"/>
    </row>
    <row r="5482" spans="4:4" x14ac:dyDescent="0.45">
      <c r="D5482" s="47"/>
    </row>
    <row r="5483" spans="4:4" x14ac:dyDescent="0.45">
      <c r="D5483" s="47"/>
    </row>
    <row r="5484" spans="4:4" x14ac:dyDescent="0.45">
      <c r="D5484" s="47"/>
    </row>
    <row r="5485" spans="4:4" x14ac:dyDescent="0.45">
      <c r="D5485" s="47"/>
    </row>
    <row r="5486" spans="4:4" x14ac:dyDescent="0.45">
      <c r="D5486" s="47"/>
    </row>
    <row r="5487" spans="4:4" x14ac:dyDescent="0.45">
      <c r="D5487" s="47"/>
    </row>
    <row r="5488" spans="4:4" x14ac:dyDescent="0.45">
      <c r="D5488" s="47"/>
    </row>
    <row r="5489" spans="4:4" x14ac:dyDescent="0.45">
      <c r="D5489" s="47"/>
    </row>
    <row r="5490" spans="4:4" x14ac:dyDescent="0.45">
      <c r="D5490" s="47"/>
    </row>
    <row r="5491" spans="4:4" x14ac:dyDescent="0.45">
      <c r="D5491" s="47"/>
    </row>
    <row r="5492" spans="4:4" x14ac:dyDescent="0.45">
      <c r="D5492" s="47"/>
    </row>
    <row r="5493" spans="4:4" x14ac:dyDescent="0.45">
      <c r="D5493" s="47"/>
    </row>
    <row r="5494" spans="4:4" x14ac:dyDescent="0.45">
      <c r="D5494" s="47"/>
    </row>
    <row r="5495" spans="4:4" x14ac:dyDescent="0.45">
      <c r="D5495" s="47"/>
    </row>
    <row r="5496" spans="4:4" x14ac:dyDescent="0.45">
      <c r="D5496" s="47"/>
    </row>
    <row r="5497" spans="4:4" x14ac:dyDescent="0.45">
      <c r="D5497" s="47"/>
    </row>
    <row r="5498" spans="4:4" x14ac:dyDescent="0.45">
      <c r="D5498" s="47"/>
    </row>
    <row r="5499" spans="4:4" x14ac:dyDescent="0.45">
      <c r="D5499" s="47"/>
    </row>
    <row r="5500" spans="4:4" x14ac:dyDescent="0.45">
      <c r="D5500" s="47"/>
    </row>
    <row r="5501" spans="4:4" x14ac:dyDescent="0.45">
      <c r="D5501" s="47"/>
    </row>
    <row r="5502" spans="4:4" x14ac:dyDescent="0.45">
      <c r="D5502" s="47"/>
    </row>
    <row r="5503" spans="4:4" x14ac:dyDescent="0.45">
      <c r="D5503" s="47"/>
    </row>
    <row r="5504" spans="4:4" x14ac:dyDescent="0.45">
      <c r="D5504" s="47"/>
    </row>
    <row r="5505" spans="4:4" x14ac:dyDescent="0.45">
      <c r="D5505" s="47"/>
    </row>
    <row r="5506" spans="4:4" x14ac:dyDescent="0.45">
      <c r="D5506" s="47"/>
    </row>
    <row r="5507" spans="4:4" x14ac:dyDescent="0.45">
      <c r="D5507" s="47"/>
    </row>
    <row r="5508" spans="4:4" x14ac:dyDescent="0.45">
      <c r="D5508" s="47"/>
    </row>
    <row r="5509" spans="4:4" x14ac:dyDescent="0.45">
      <c r="D5509" s="47"/>
    </row>
    <row r="5510" spans="4:4" x14ac:dyDescent="0.45">
      <c r="D5510" s="47"/>
    </row>
    <row r="5511" spans="4:4" x14ac:dyDescent="0.45">
      <c r="D5511" s="47"/>
    </row>
    <row r="5512" spans="4:4" x14ac:dyDescent="0.45">
      <c r="D5512" s="47"/>
    </row>
    <row r="5513" spans="4:4" x14ac:dyDescent="0.45">
      <c r="D5513" s="47"/>
    </row>
    <row r="5514" spans="4:4" x14ac:dyDescent="0.45">
      <c r="D5514" s="47"/>
    </row>
    <row r="5515" spans="4:4" x14ac:dyDescent="0.45">
      <c r="D5515" s="47"/>
    </row>
    <row r="5516" spans="4:4" x14ac:dyDescent="0.45">
      <c r="D5516" s="47"/>
    </row>
    <row r="5517" spans="4:4" x14ac:dyDescent="0.45">
      <c r="D5517" s="47"/>
    </row>
    <row r="5518" spans="4:4" x14ac:dyDescent="0.45">
      <c r="D5518" s="47"/>
    </row>
    <row r="5519" spans="4:4" x14ac:dyDescent="0.45">
      <c r="D5519" s="47"/>
    </row>
    <row r="5520" spans="4:4" x14ac:dyDescent="0.45">
      <c r="D5520" s="47"/>
    </row>
    <row r="5521" spans="4:4" x14ac:dyDescent="0.45">
      <c r="D5521" s="47"/>
    </row>
    <row r="5522" spans="4:4" x14ac:dyDescent="0.45">
      <c r="D5522" s="47"/>
    </row>
    <row r="5523" spans="4:4" x14ac:dyDescent="0.45">
      <c r="D5523" s="47"/>
    </row>
    <row r="5524" spans="4:4" x14ac:dyDescent="0.45">
      <c r="D5524" s="47"/>
    </row>
    <row r="5525" spans="4:4" x14ac:dyDescent="0.45">
      <c r="D5525" s="47"/>
    </row>
    <row r="5526" spans="4:4" x14ac:dyDescent="0.45">
      <c r="D5526" s="47"/>
    </row>
    <row r="5527" spans="4:4" x14ac:dyDescent="0.45">
      <c r="D5527" s="47"/>
    </row>
    <row r="5528" spans="4:4" x14ac:dyDescent="0.45">
      <c r="D5528" s="47"/>
    </row>
    <row r="5529" spans="4:4" x14ac:dyDescent="0.45">
      <c r="D5529" s="47"/>
    </row>
    <row r="5530" spans="4:4" x14ac:dyDescent="0.45">
      <c r="D5530" s="47"/>
    </row>
    <row r="5531" spans="4:4" x14ac:dyDescent="0.45">
      <c r="D5531" s="47"/>
    </row>
    <row r="5532" spans="4:4" x14ac:dyDescent="0.45">
      <c r="D5532" s="47"/>
    </row>
    <row r="5533" spans="4:4" x14ac:dyDescent="0.45">
      <c r="D5533" s="47"/>
    </row>
    <row r="5534" spans="4:4" x14ac:dyDescent="0.45">
      <c r="D5534" s="47"/>
    </row>
    <row r="5535" spans="4:4" x14ac:dyDescent="0.45">
      <c r="D5535" s="47"/>
    </row>
    <row r="5536" spans="4:4" x14ac:dyDescent="0.45">
      <c r="D5536" s="47"/>
    </row>
    <row r="5537" spans="4:4" x14ac:dyDescent="0.45">
      <c r="D5537" s="47"/>
    </row>
    <row r="5538" spans="4:4" x14ac:dyDescent="0.45">
      <c r="D5538" s="47"/>
    </row>
    <row r="5539" spans="4:4" x14ac:dyDescent="0.45">
      <c r="D5539" s="47"/>
    </row>
    <row r="5540" spans="4:4" x14ac:dyDescent="0.45">
      <c r="D5540" s="47"/>
    </row>
    <row r="5541" spans="4:4" x14ac:dyDescent="0.45">
      <c r="D5541" s="47"/>
    </row>
    <row r="5542" spans="4:4" x14ac:dyDescent="0.45">
      <c r="D5542" s="47"/>
    </row>
    <row r="5543" spans="4:4" x14ac:dyDescent="0.45">
      <c r="D5543" s="47"/>
    </row>
    <row r="5544" spans="4:4" x14ac:dyDescent="0.45">
      <c r="D5544" s="47"/>
    </row>
    <row r="5545" spans="4:4" x14ac:dyDescent="0.45">
      <c r="D5545" s="47"/>
    </row>
    <row r="5546" spans="4:4" x14ac:dyDescent="0.45">
      <c r="D5546" s="47"/>
    </row>
    <row r="5547" spans="4:4" x14ac:dyDescent="0.45">
      <c r="D5547" s="47"/>
    </row>
    <row r="5548" spans="4:4" x14ac:dyDescent="0.45">
      <c r="D5548" s="47"/>
    </row>
    <row r="5549" spans="4:4" x14ac:dyDescent="0.45">
      <c r="D5549" s="47"/>
    </row>
    <row r="5550" spans="4:4" x14ac:dyDescent="0.45">
      <c r="D5550" s="47"/>
    </row>
    <row r="5551" spans="4:4" x14ac:dyDescent="0.45">
      <c r="D5551" s="47"/>
    </row>
    <row r="5552" spans="4:4" x14ac:dyDescent="0.45">
      <c r="D5552" s="47"/>
    </row>
    <row r="5553" spans="4:4" x14ac:dyDescent="0.45">
      <c r="D5553" s="47"/>
    </row>
    <row r="5554" spans="4:4" x14ac:dyDescent="0.45">
      <c r="D5554" s="47"/>
    </row>
    <row r="5555" spans="4:4" x14ac:dyDescent="0.45">
      <c r="D5555" s="47"/>
    </row>
    <row r="5556" spans="4:4" x14ac:dyDescent="0.45">
      <c r="D5556" s="47"/>
    </row>
    <row r="5557" spans="4:4" x14ac:dyDescent="0.45">
      <c r="D5557" s="47"/>
    </row>
    <row r="5558" spans="4:4" x14ac:dyDescent="0.45">
      <c r="D5558" s="47"/>
    </row>
    <row r="5559" spans="4:4" x14ac:dyDescent="0.45">
      <c r="D5559" s="47"/>
    </row>
    <row r="5560" spans="4:4" x14ac:dyDescent="0.45">
      <c r="D5560" s="47"/>
    </row>
    <row r="5561" spans="4:4" x14ac:dyDescent="0.45">
      <c r="D5561" s="47"/>
    </row>
    <row r="5562" spans="4:4" x14ac:dyDescent="0.45">
      <c r="D5562" s="47"/>
    </row>
    <row r="5563" spans="4:4" x14ac:dyDescent="0.45">
      <c r="D5563" s="47"/>
    </row>
    <row r="5564" spans="4:4" x14ac:dyDescent="0.45">
      <c r="D5564" s="47"/>
    </row>
    <row r="5565" spans="4:4" x14ac:dyDescent="0.45">
      <c r="D5565" s="47"/>
    </row>
    <row r="5566" spans="4:4" x14ac:dyDescent="0.45">
      <c r="D5566" s="47"/>
    </row>
    <row r="5567" spans="4:4" x14ac:dyDescent="0.45">
      <c r="D5567" s="47"/>
    </row>
    <row r="5568" spans="4:4" x14ac:dyDescent="0.45">
      <c r="D5568" s="47"/>
    </row>
    <row r="5569" spans="4:4" x14ac:dyDescent="0.45">
      <c r="D5569" s="47"/>
    </row>
    <row r="5570" spans="4:4" x14ac:dyDescent="0.45">
      <c r="D5570" s="47"/>
    </row>
    <row r="5571" spans="4:4" x14ac:dyDescent="0.45">
      <c r="D5571" s="47"/>
    </row>
    <row r="5572" spans="4:4" x14ac:dyDescent="0.45">
      <c r="D5572" s="47"/>
    </row>
    <row r="5573" spans="4:4" x14ac:dyDescent="0.45">
      <c r="D5573" s="47"/>
    </row>
    <row r="5574" spans="4:4" x14ac:dyDescent="0.45">
      <c r="D5574" s="47"/>
    </row>
    <row r="5575" spans="4:4" x14ac:dyDescent="0.45">
      <c r="D5575" s="47"/>
    </row>
    <row r="5576" spans="4:4" x14ac:dyDescent="0.45">
      <c r="D5576" s="47"/>
    </row>
    <row r="5577" spans="4:4" x14ac:dyDescent="0.45">
      <c r="D5577" s="47"/>
    </row>
    <row r="5578" spans="4:4" x14ac:dyDescent="0.45">
      <c r="D5578" s="47"/>
    </row>
    <row r="5579" spans="4:4" x14ac:dyDescent="0.45">
      <c r="D5579" s="47"/>
    </row>
    <row r="5580" spans="4:4" x14ac:dyDescent="0.45">
      <c r="D5580" s="47"/>
    </row>
    <row r="5581" spans="4:4" x14ac:dyDescent="0.45">
      <c r="D5581" s="47"/>
    </row>
    <row r="5582" spans="4:4" x14ac:dyDescent="0.45">
      <c r="D5582" s="47"/>
    </row>
    <row r="5583" spans="4:4" x14ac:dyDescent="0.45">
      <c r="D5583" s="47"/>
    </row>
    <row r="5584" spans="4:4" x14ac:dyDescent="0.45">
      <c r="D5584" s="47"/>
    </row>
    <row r="5585" spans="4:4" x14ac:dyDescent="0.45">
      <c r="D5585" s="47"/>
    </row>
    <row r="5586" spans="4:4" x14ac:dyDescent="0.45">
      <c r="D5586" s="47"/>
    </row>
    <row r="5587" spans="4:4" x14ac:dyDescent="0.45">
      <c r="D5587" s="47"/>
    </row>
    <row r="5588" spans="4:4" x14ac:dyDescent="0.45">
      <c r="D5588" s="47"/>
    </row>
    <row r="5589" spans="4:4" x14ac:dyDescent="0.45">
      <c r="D5589" s="47"/>
    </row>
    <row r="5590" spans="4:4" x14ac:dyDescent="0.45">
      <c r="D5590" s="47"/>
    </row>
    <row r="5591" spans="4:4" x14ac:dyDescent="0.45">
      <c r="D5591" s="47"/>
    </row>
    <row r="5592" spans="4:4" x14ac:dyDescent="0.45">
      <c r="D5592" s="47"/>
    </row>
    <row r="5593" spans="4:4" x14ac:dyDescent="0.45">
      <c r="D5593" s="47"/>
    </row>
    <row r="5594" spans="4:4" x14ac:dyDescent="0.45">
      <c r="D5594" s="47"/>
    </row>
    <row r="5595" spans="4:4" x14ac:dyDescent="0.45">
      <c r="D5595" s="47"/>
    </row>
    <row r="5596" spans="4:4" x14ac:dyDescent="0.45">
      <c r="D5596" s="47"/>
    </row>
    <row r="5597" spans="4:4" x14ac:dyDescent="0.45">
      <c r="D5597" s="47"/>
    </row>
    <row r="5598" spans="4:4" x14ac:dyDescent="0.45">
      <c r="D5598" s="47"/>
    </row>
    <row r="5599" spans="4:4" x14ac:dyDescent="0.45">
      <c r="D5599" s="47"/>
    </row>
    <row r="5600" spans="4:4" x14ac:dyDescent="0.45">
      <c r="D5600" s="47"/>
    </row>
    <row r="5601" spans="4:4" x14ac:dyDescent="0.45">
      <c r="D5601" s="47"/>
    </row>
    <row r="5602" spans="4:4" x14ac:dyDescent="0.45">
      <c r="D5602" s="47"/>
    </row>
    <row r="5603" spans="4:4" x14ac:dyDescent="0.45">
      <c r="D5603" s="47"/>
    </row>
    <row r="5604" spans="4:4" x14ac:dyDescent="0.45">
      <c r="D5604" s="47"/>
    </row>
    <row r="5605" spans="4:4" x14ac:dyDescent="0.45">
      <c r="D5605" s="47"/>
    </row>
    <row r="5606" spans="4:4" x14ac:dyDescent="0.45">
      <c r="D5606" s="47"/>
    </row>
    <row r="5607" spans="4:4" x14ac:dyDescent="0.45">
      <c r="D5607" s="47"/>
    </row>
    <row r="5608" spans="4:4" x14ac:dyDescent="0.45">
      <c r="D5608" s="47"/>
    </row>
    <row r="5609" spans="4:4" x14ac:dyDescent="0.45">
      <c r="D5609" s="47"/>
    </row>
    <row r="5610" spans="4:4" x14ac:dyDescent="0.45">
      <c r="D5610" s="47"/>
    </row>
    <row r="5611" spans="4:4" x14ac:dyDescent="0.45">
      <c r="D5611" s="47"/>
    </row>
    <row r="5612" spans="4:4" x14ac:dyDescent="0.45">
      <c r="D5612" s="47"/>
    </row>
    <row r="5613" spans="4:4" x14ac:dyDescent="0.45">
      <c r="D5613" s="47"/>
    </row>
    <row r="5614" spans="4:4" x14ac:dyDescent="0.45">
      <c r="D5614" s="47"/>
    </row>
    <row r="5615" spans="4:4" x14ac:dyDescent="0.45">
      <c r="D5615" s="47"/>
    </row>
    <row r="5616" spans="4:4" x14ac:dyDescent="0.45">
      <c r="D5616" s="47"/>
    </row>
    <row r="5617" spans="4:4" x14ac:dyDescent="0.45">
      <c r="D5617" s="47"/>
    </row>
    <row r="5618" spans="4:4" x14ac:dyDescent="0.45">
      <c r="D5618" s="47"/>
    </row>
    <row r="5619" spans="4:4" x14ac:dyDescent="0.45">
      <c r="D5619" s="47"/>
    </row>
    <row r="5620" spans="4:4" x14ac:dyDescent="0.45">
      <c r="D5620" s="47"/>
    </row>
    <row r="5621" spans="4:4" x14ac:dyDescent="0.45">
      <c r="D5621" s="47"/>
    </row>
    <row r="5622" spans="4:4" x14ac:dyDescent="0.45">
      <c r="D5622" s="47"/>
    </row>
    <row r="5623" spans="4:4" x14ac:dyDescent="0.45">
      <c r="D5623" s="47"/>
    </row>
    <row r="5624" spans="4:4" x14ac:dyDescent="0.45">
      <c r="D5624" s="47"/>
    </row>
    <row r="5625" spans="4:4" x14ac:dyDescent="0.45">
      <c r="D5625" s="47"/>
    </row>
    <row r="5626" spans="4:4" x14ac:dyDescent="0.45">
      <c r="D5626" s="47"/>
    </row>
    <row r="5627" spans="4:4" x14ac:dyDescent="0.45">
      <c r="D5627" s="47"/>
    </row>
    <row r="5628" spans="4:4" x14ac:dyDescent="0.45">
      <c r="D5628" s="47"/>
    </row>
    <row r="5629" spans="4:4" x14ac:dyDescent="0.45">
      <c r="D5629" s="47"/>
    </row>
    <row r="5630" spans="4:4" x14ac:dyDescent="0.45">
      <c r="D5630" s="47"/>
    </row>
    <row r="5631" spans="4:4" x14ac:dyDescent="0.45">
      <c r="D5631" s="47"/>
    </row>
    <row r="5632" spans="4:4" x14ac:dyDescent="0.45">
      <c r="D5632" s="47"/>
    </row>
    <row r="5633" spans="4:4" x14ac:dyDescent="0.45">
      <c r="D5633" s="47"/>
    </row>
    <row r="5634" spans="4:4" x14ac:dyDescent="0.45">
      <c r="D5634" s="47"/>
    </row>
    <row r="5635" spans="4:4" x14ac:dyDescent="0.45">
      <c r="D5635" s="47"/>
    </row>
    <row r="5636" spans="4:4" x14ac:dyDescent="0.45">
      <c r="D5636" s="47"/>
    </row>
    <row r="5637" spans="4:4" x14ac:dyDescent="0.45">
      <c r="D5637" s="47"/>
    </row>
    <row r="5638" spans="4:4" x14ac:dyDescent="0.45">
      <c r="D5638" s="47"/>
    </row>
    <row r="5639" spans="4:4" x14ac:dyDescent="0.45">
      <c r="D5639" s="47"/>
    </row>
    <row r="5640" spans="4:4" x14ac:dyDescent="0.45">
      <c r="D5640" s="47"/>
    </row>
    <row r="5641" spans="4:4" x14ac:dyDescent="0.45">
      <c r="D5641" s="47"/>
    </row>
    <row r="5642" spans="4:4" x14ac:dyDescent="0.45">
      <c r="D5642" s="47"/>
    </row>
    <row r="5643" spans="4:4" x14ac:dyDescent="0.45">
      <c r="D5643" s="47"/>
    </row>
    <row r="5644" spans="4:4" x14ac:dyDescent="0.45">
      <c r="D5644" s="47"/>
    </row>
    <row r="5645" spans="4:4" x14ac:dyDescent="0.45">
      <c r="D5645" s="47"/>
    </row>
    <row r="5646" spans="4:4" x14ac:dyDescent="0.45">
      <c r="D5646" s="47"/>
    </row>
    <row r="5647" spans="4:4" x14ac:dyDescent="0.45">
      <c r="D5647" s="47"/>
    </row>
    <row r="5648" spans="4:4" x14ac:dyDescent="0.45">
      <c r="D5648" s="47"/>
    </row>
    <row r="5649" spans="4:4" x14ac:dyDescent="0.45">
      <c r="D5649" s="47"/>
    </row>
    <row r="5650" spans="4:4" x14ac:dyDescent="0.45">
      <c r="D5650" s="47"/>
    </row>
    <row r="5651" spans="4:4" x14ac:dyDescent="0.45">
      <c r="D5651" s="47"/>
    </row>
    <row r="5652" spans="4:4" x14ac:dyDescent="0.45">
      <c r="D5652" s="47"/>
    </row>
    <row r="5653" spans="4:4" x14ac:dyDescent="0.45">
      <c r="D5653" s="47"/>
    </row>
    <row r="5654" spans="4:4" x14ac:dyDescent="0.45">
      <c r="D5654" s="47"/>
    </row>
    <row r="5655" spans="4:4" x14ac:dyDescent="0.45">
      <c r="D5655" s="47"/>
    </row>
    <row r="5656" spans="4:4" x14ac:dyDescent="0.45">
      <c r="D5656" s="47"/>
    </row>
    <row r="5657" spans="4:4" x14ac:dyDescent="0.45">
      <c r="D5657" s="47"/>
    </row>
    <row r="5658" spans="4:4" x14ac:dyDescent="0.45">
      <c r="D5658" s="47"/>
    </row>
    <row r="5659" spans="4:4" x14ac:dyDescent="0.45">
      <c r="D5659" s="47"/>
    </row>
    <row r="5660" spans="4:4" x14ac:dyDescent="0.45">
      <c r="D5660" s="47"/>
    </row>
    <row r="5661" spans="4:4" x14ac:dyDescent="0.45">
      <c r="D5661" s="47"/>
    </row>
    <row r="5662" spans="4:4" x14ac:dyDescent="0.45">
      <c r="D5662" s="47"/>
    </row>
    <row r="5663" spans="4:4" x14ac:dyDescent="0.45">
      <c r="D5663" s="47"/>
    </row>
    <row r="5664" spans="4:4" x14ac:dyDescent="0.45">
      <c r="D5664" s="47"/>
    </row>
    <row r="5665" spans="4:4" x14ac:dyDescent="0.45">
      <c r="D5665" s="47"/>
    </row>
    <row r="5666" spans="4:4" x14ac:dyDescent="0.45">
      <c r="D5666" s="47"/>
    </row>
    <row r="5667" spans="4:4" x14ac:dyDescent="0.45">
      <c r="D5667" s="47"/>
    </row>
    <row r="5668" spans="4:4" x14ac:dyDescent="0.45">
      <c r="D5668" s="47"/>
    </row>
    <row r="5669" spans="4:4" x14ac:dyDescent="0.45">
      <c r="D5669" s="47"/>
    </row>
    <row r="5670" spans="4:4" x14ac:dyDescent="0.45">
      <c r="D5670" s="47"/>
    </row>
    <row r="5671" spans="4:4" x14ac:dyDescent="0.45">
      <c r="D5671" s="47"/>
    </row>
    <row r="5672" spans="4:4" x14ac:dyDescent="0.45">
      <c r="D5672" s="47"/>
    </row>
    <row r="5673" spans="4:4" x14ac:dyDescent="0.45">
      <c r="D5673" s="47"/>
    </row>
    <row r="5674" spans="4:4" x14ac:dyDescent="0.45">
      <c r="D5674" s="47"/>
    </row>
    <row r="5675" spans="4:4" x14ac:dyDescent="0.45">
      <c r="D5675" s="47"/>
    </row>
    <row r="5676" spans="4:4" x14ac:dyDescent="0.45">
      <c r="D5676" s="47"/>
    </row>
    <row r="5677" spans="4:4" x14ac:dyDescent="0.45">
      <c r="D5677" s="47"/>
    </row>
    <row r="5678" spans="4:4" x14ac:dyDescent="0.45">
      <c r="D5678" s="47"/>
    </row>
    <row r="5679" spans="4:4" x14ac:dyDescent="0.45">
      <c r="D5679" s="47"/>
    </row>
    <row r="5680" spans="4:4" x14ac:dyDescent="0.45">
      <c r="D5680" s="47"/>
    </row>
    <row r="5681" spans="4:4" x14ac:dyDescent="0.45">
      <c r="D5681" s="47"/>
    </row>
    <row r="5682" spans="4:4" x14ac:dyDescent="0.45">
      <c r="D5682" s="47"/>
    </row>
    <row r="5683" spans="4:4" x14ac:dyDescent="0.45">
      <c r="D5683" s="47"/>
    </row>
    <row r="5684" spans="4:4" x14ac:dyDescent="0.45">
      <c r="D5684" s="47"/>
    </row>
    <row r="5685" spans="4:4" x14ac:dyDescent="0.45">
      <c r="D5685" s="47"/>
    </row>
    <row r="5686" spans="4:4" x14ac:dyDescent="0.45">
      <c r="D5686" s="47"/>
    </row>
    <row r="5687" spans="4:4" x14ac:dyDescent="0.45">
      <c r="D5687" s="47"/>
    </row>
    <row r="5688" spans="4:4" x14ac:dyDescent="0.45">
      <c r="D5688" s="47"/>
    </row>
    <row r="5689" spans="4:4" x14ac:dyDescent="0.45">
      <c r="D5689" s="47"/>
    </row>
    <row r="5690" spans="4:4" x14ac:dyDescent="0.45">
      <c r="D5690" s="47"/>
    </row>
    <row r="5691" spans="4:4" x14ac:dyDescent="0.45">
      <c r="D5691" s="47"/>
    </row>
    <row r="5692" spans="4:4" x14ac:dyDescent="0.45">
      <c r="D5692" s="47"/>
    </row>
    <row r="5693" spans="4:4" x14ac:dyDescent="0.45">
      <c r="D5693" s="47"/>
    </row>
    <row r="5694" spans="4:4" x14ac:dyDescent="0.45">
      <c r="D5694" s="47"/>
    </row>
    <row r="5695" spans="4:4" x14ac:dyDescent="0.45">
      <c r="D5695" s="47"/>
    </row>
    <row r="5696" spans="4:4" x14ac:dyDescent="0.45">
      <c r="D5696" s="47"/>
    </row>
    <row r="5697" spans="4:4" x14ac:dyDescent="0.45">
      <c r="D5697" s="47"/>
    </row>
    <row r="5698" spans="4:4" x14ac:dyDescent="0.45">
      <c r="D5698" s="47"/>
    </row>
    <row r="5699" spans="4:4" x14ac:dyDescent="0.45">
      <c r="D5699" s="47"/>
    </row>
    <row r="5700" spans="4:4" x14ac:dyDescent="0.45">
      <c r="D5700" s="47"/>
    </row>
    <row r="5701" spans="4:4" x14ac:dyDescent="0.45">
      <c r="D5701" s="47"/>
    </row>
    <row r="5702" spans="4:4" x14ac:dyDescent="0.45">
      <c r="D5702" s="47"/>
    </row>
    <row r="5703" spans="4:4" x14ac:dyDescent="0.45">
      <c r="D5703" s="47"/>
    </row>
    <row r="5704" spans="4:4" x14ac:dyDescent="0.45">
      <c r="D5704" s="47"/>
    </row>
    <row r="5705" spans="4:4" x14ac:dyDescent="0.45">
      <c r="D5705" s="47"/>
    </row>
    <row r="5706" spans="4:4" x14ac:dyDescent="0.45">
      <c r="D5706" s="47"/>
    </row>
    <row r="5707" spans="4:4" x14ac:dyDescent="0.45">
      <c r="D5707" s="47"/>
    </row>
    <row r="5708" spans="4:4" x14ac:dyDescent="0.45">
      <c r="D5708" s="47"/>
    </row>
    <row r="5709" spans="4:4" x14ac:dyDescent="0.45">
      <c r="D5709" s="47"/>
    </row>
    <row r="5710" spans="4:4" x14ac:dyDescent="0.45">
      <c r="D5710" s="47"/>
    </row>
    <row r="5711" spans="4:4" x14ac:dyDescent="0.45">
      <c r="D5711" s="47"/>
    </row>
    <row r="5712" spans="4:4" x14ac:dyDescent="0.45">
      <c r="D5712" s="47"/>
    </row>
    <row r="5713" spans="4:4" x14ac:dyDescent="0.45">
      <c r="D5713" s="47"/>
    </row>
    <row r="5714" spans="4:4" x14ac:dyDescent="0.45">
      <c r="D5714" s="47"/>
    </row>
    <row r="5715" spans="4:4" x14ac:dyDescent="0.45">
      <c r="D5715" s="47"/>
    </row>
    <row r="5716" spans="4:4" x14ac:dyDescent="0.45">
      <c r="D5716" s="47"/>
    </row>
    <row r="5717" spans="4:4" x14ac:dyDescent="0.45">
      <c r="D5717" s="47"/>
    </row>
    <row r="5718" spans="4:4" x14ac:dyDescent="0.45">
      <c r="D5718" s="47"/>
    </row>
    <row r="5719" spans="4:4" x14ac:dyDescent="0.45">
      <c r="D5719" s="47"/>
    </row>
    <row r="5720" spans="4:4" x14ac:dyDescent="0.45">
      <c r="D5720" s="47"/>
    </row>
    <row r="5721" spans="4:4" x14ac:dyDescent="0.45">
      <c r="D5721" s="47"/>
    </row>
    <row r="5722" spans="4:4" x14ac:dyDescent="0.45">
      <c r="D5722" s="47"/>
    </row>
    <row r="5723" spans="4:4" x14ac:dyDescent="0.45">
      <c r="D5723" s="47"/>
    </row>
    <row r="5724" spans="4:4" x14ac:dyDescent="0.45">
      <c r="D5724" s="47"/>
    </row>
    <row r="5725" spans="4:4" x14ac:dyDescent="0.45">
      <c r="D5725" s="47"/>
    </row>
    <row r="5726" spans="4:4" x14ac:dyDescent="0.45">
      <c r="D5726" s="47"/>
    </row>
    <row r="5727" spans="4:4" x14ac:dyDescent="0.45">
      <c r="D5727" s="47"/>
    </row>
    <row r="5728" spans="4:4" x14ac:dyDescent="0.45">
      <c r="D5728" s="47"/>
    </row>
    <row r="5729" spans="4:4" x14ac:dyDescent="0.45">
      <c r="D5729" s="47"/>
    </row>
    <row r="5730" spans="4:4" x14ac:dyDescent="0.45">
      <c r="D5730" s="47"/>
    </row>
    <row r="5731" spans="4:4" x14ac:dyDescent="0.45">
      <c r="D5731" s="47"/>
    </row>
    <row r="5732" spans="4:4" x14ac:dyDescent="0.45">
      <c r="D5732" s="47"/>
    </row>
    <row r="5733" spans="4:4" x14ac:dyDescent="0.45">
      <c r="D5733" s="47"/>
    </row>
    <row r="5734" spans="4:4" x14ac:dyDescent="0.45">
      <c r="D5734" s="47"/>
    </row>
    <row r="5735" spans="4:4" x14ac:dyDescent="0.45">
      <c r="D5735" s="47"/>
    </row>
    <row r="5736" spans="4:4" x14ac:dyDescent="0.45">
      <c r="D5736" s="47"/>
    </row>
    <row r="5737" spans="4:4" x14ac:dyDescent="0.45">
      <c r="D5737" s="47"/>
    </row>
    <row r="5738" spans="4:4" x14ac:dyDescent="0.45">
      <c r="D5738" s="47"/>
    </row>
    <row r="5739" spans="4:4" x14ac:dyDescent="0.45">
      <c r="D5739" s="47"/>
    </row>
    <row r="5740" spans="4:4" x14ac:dyDescent="0.45">
      <c r="D5740" s="47"/>
    </row>
    <row r="5741" spans="4:4" x14ac:dyDescent="0.45">
      <c r="D5741" s="47"/>
    </row>
    <row r="5742" spans="4:4" x14ac:dyDescent="0.45">
      <c r="D5742" s="47"/>
    </row>
    <row r="5743" spans="4:4" x14ac:dyDescent="0.45">
      <c r="D5743" s="47"/>
    </row>
    <row r="5744" spans="4:4" x14ac:dyDescent="0.45">
      <c r="D5744" s="47"/>
    </row>
    <row r="5745" spans="4:4" x14ac:dyDescent="0.45">
      <c r="D5745" s="47"/>
    </row>
    <row r="5746" spans="4:4" x14ac:dyDescent="0.45">
      <c r="D5746" s="47"/>
    </row>
    <row r="5747" spans="4:4" x14ac:dyDescent="0.45">
      <c r="D5747" s="47"/>
    </row>
    <row r="5748" spans="4:4" x14ac:dyDescent="0.45">
      <c r="D5748" s="47"/>
    </row>
    <row r="5749" spans="4:4" x14ac:dyDescent="0.45">
      <c r="D5749" s="47"/>
    </row>
    <row r="5750" spans="4:4" x14ac:dyDescent="0.45">
      <c r="D5750" s="47"/>
    </row>
    <row r="5751" spans="4:4" x14ac:dyDescent="0.45">
      <c r="D5751" s="47"/>
    </row>
    <row r="5752" spans="4:4" x14ac:dyDescent="0.45">
      <c r="D5752" s="47"/>
    </row>
    <row r="5753" spans="4:4" x14ac:dyDescent="0.45">
      <c r="D5753" s="47"/>
    </row>
    <row r="5754" spans="4:4" x14ac:dyDescent="0.45">
      <c r="D5754" s="47"/>
    </row>
    <row r="5755" spans="4:4" x14ac:dyDescent="0.45">
      <c r="D5755" s="47"/>
    </row>
    <row r="5756" spans="4:4" x14ac:dyDescent="0.45">
      <c r="D5756" s="47"/>
    </row>
    <row r="5757" spans="4:4" x14ac:dyDescent="0.45">
      <c r="D5757" s="47"/>
    </row>
    <row r="5758" spans="4:4" x14ac:dyDescent="0.45">
      <c r="D5758" s="47"/>
    </row>
    <row r="5759" spans="4:4" x14ac:dyDescent="0.45">
      <c r="D5759" s="47"/>
    </row>
    <row r="5760" spans="4:4" x14ac:dyDescent="0.45">
      <c r="D5760" s="47"/>
    </row>
    <row r="5761" spans="4:4" x14ac:dyDescent="0.45">
      <c r="D5761" s="47"/>
    </row>
    <row r="5762" spans="4:4" x14ac:dyDescent="0.45">
      <c r="D5762" s="47"/>
    </row>
    <row r="5763" spans="4:4" x14ac:dyDescent="0.45">
      <c r="D5763" s="47"/>
    </row>
    <row r="5764" spans="4:4" x14ac:dyDescent="0.45">
      <c r="D5764" s="47"/>
    </row>
    <row r="5765" spans="4:4" x14ac:dyDescent="0.45">
      <c r="D5765" s="47"/>
    </row>
    <row r="5766" spans="4:4" x14ac:dyDescent="0.45">
      <c r="D5766" s="47"/>
    </row>
    <row r="5767" spans="4:4" x14ac:dyDescent="0.45">
      <c r="D5767" s="47"/>
    </row>
    <row r="5768" spans="4:4" x14ac:dyDescent="0.45">
      <c r="D5768" s="47"/>
    </row>
    <row r="5769" spans="4:4" x14ac:dyDescent="0.45">
      <c r="D5769" s="47"/>
    </row>
    <row r="5770" spans="4:4" x14ac:dyDescent="0.45">
      <c r="D5770" s="47"/>
    </row>
    <row r="5771" spans="4:4" x14ac:dyDescent="0.45">
      <c r="D5771" s="47"/>
    </row>
    <row r="5772" spans="4:4" x14ac:dyDescent="0.45">
      <c r="D5772" s="47"/>
    </row>
    <row r="5773" spans="4:4" x14ac:dyDescent="0.45">
      <c r="D5773" s="47"/>
    </row>
    <row r="5774" spans="4:4" x14ac:dyDescent="0.45">
      <c r="D5774" s="47"/>
    </row>
    <row r="5775" spans="4:4" x14ac:dyDescent="0.45">
      <c r="D5775" s="47"/>
    </row>
    <row r="5776" spans="4:4" x14ac:dyDescent="0.45">
      <c r="D5776" s="47"/>
    </row>
    <row r="5777" spans="4:4" x14ac:dyDescent="0.45">
      <c r="D5777" s="47"/>
    </row>
    <row r="5778" spans="4:4" x14ac:dyDescent="0.45">
      <c r="D5778" s="47"/>
    </row>
    <row r="5779" spans="4:4" x14ac:dyDescent="0.45">
      <c r="D5779" s="47"/>
    </row>
    <row r="5780" spans="4:4" x14ac:dyDescent="0.45">
      <c r="D5780" s="47"/>
    </row>
    <row r="5781" spans="4:4" x14ac:dyDescent="0.45">
      <c r="D5781" s="47"/>
    </row>
    <row r="5782" spans="4:4" x14ac:dyDescent="0.45">
      <c r="D5782" s="47"/>
    </row>
    <row r="5783" spans="4:4" x14ac:dyDescent="0.45">
      <c r="D5783" s="47"/>
    </row>
    <row r="5784" spans="4:4" x14ac:dyDescent="0.45">
      <c r="D5784" s="47"/>
    </row>
    <row r="5785" spans="4:4" x14ac:dyDescent="0.45">
      <c r="D5785" s="47"/>
    </row>
    <row r="5786" spans="4:4" x14ac:dyDescent="0.45">
      <c r="D5786" s="47"/>
    </row>
    <row r="5787" spans="4:4" x14ac:dyDescent="0.45">
      <c r="D5787" s="47"/>
    </row>
    <row r="5788" spans="4:4" x14ac:dyDescent="0.45">
      <c r="D5788" s="47"/>
    </row>
    <row r="5789" spans="4:4" x14ac:dyDescent="0.45">
      <c r="D5789" s="47"/>
    </row>
    <row r="5790" spans="4:4" x14ac:dyDescent="0.45">
      <c r="D5790" s="47"/>
    </row>
    <row r="5791" spans="4:4" x14ac:dyDescent="0.45">
      <c r="D5791" s="47"/>
    </row>
    <row r="5792" spans="4:4" x14ac:dyDescent="0.45">
      <c r="D5792" s="47"/>
    </row>
    <row r="5793" spans="4:4" x14ac:dyDescent="0.45">
      <c r="D5793" s="47"/>
    </row>
    <row r="5794" spans="4:4" x14ac:dyDescent="0.45">
      <c r="D5794" s="47"/>
    </row>
    <row r="5795" spans="4:4" x14ac:dyDescent="0.45">
      <c r="D5795" s="47"/>
    </row>
    <row r="5796" spans="4:4" x14ac:dyDescent="0.45">
      <c r="D5796" s="47"/>
    </row>
    <row r="5797" spans="4:4" x14ac:dyDescent="0.45">
      <c r="D5797" s="47"/>
    </row>
    <row r="5798" spans="4:4" x14ac:dyDescent="0.45">
      <c r="D5798" s="47"/>
    </row>
    <row r="5799" spans="4:4" x14ac:dyDescent="0.45">
      <c r="D5799" s="47"/>
    </row>
    <row r="5800" spans="4:4" x14ac:dyDescent="0.45">
      <c r="D5800" s="47"/>
    </row>
    <row r="5801" spans="4:4" x14ac:dyDescent="0.45">
      <c r="D5801" s="47"/>
    </row>
    <row r="5802" spans="4:4" x14ac:dyDescent="0.45">
      <c r="D5802" s="47"/>
    </row>
    <row r="5803" spans="4:4" x14ac:dyDescent="0.45">
      <c r="D5803" s="47"/>
    </row>
    <row r="5804" spans="4:4" x14ac:dyDescent="0.45">
      <c r="D5804" s="47"/>
    </row>
    <row r="5805" spans="4:4" x14ac:dyDescent="0.45">
      <c r="D5805" s="47"/>
    </row>
    <row r="5806" spans="4:4" x14ac:dyDescent="0.45">
      <c r="D5806" s="47"/>
    </row>
    <row r="5807" spans="4:4" x14ac:dyDescent="0.45">
      <c r="D5807" s="47"/>
    </row>
    <row r="5808" spans="4:4" x14ac:dyDescent="0.45">
      <c r="D5808" s="47"/>
    </row>
    <row r="5809" spans="4:4" x14ac:dyDescent="0.45">
      <c r="D5809" s="47"/>
    </row>
    <row r="5810" spans="4:4" x14ac:dyDescent="0.45">
      <c r="D5810" s="47"/>
    </row>
    <row r="5811" spans="4:4" x14ac:dyDescent="0.45">
      <c r="D5811" s="47"/>
    </row>
    <row r="5812" spans="4:4" x14ac:dyDescent="0.45">
      <c r="D5812" s="47"/>
    </row>
    <row r="5813" spans="4:4" x14ac:dyDescent="0.45">
      <c r="D5813" s="47"/>
    </row>
    <row r="5814" spans="4:4" x14ac:dyDescent="0.45">
      <c r="D5814" s="47"/>
    </row>
    <row r="5815" spans="4:4" x14ac:dyDescent="0.45">
      <c r="D5815" s="47"/>
    </row>
    <row r="5816" spans="4:4" x14ac:dyDescent="0.45">
      <c r="D5816" s="47"/>
    </row>
    <row r="5817" spans="4:4" x14ac:dyDescent="0.45">
      <c r="D5817" s="47"/>
    </row>
    <row r="5818" spans="4:4" x14ac:dyDescent="0.45">
      <c r="D5818" s="47"/>
    </row>
    <row r="5819" spans="4:4" x14ac:dyDescent="0.45">
      <c r="D5819" s="47"/>
    </row>
    <row r="5820" spans="4:4" x14ac:dyDescent="0.45">
      <c r="D5820" s="47"/>
    </row>
    <row r="5821" spans="4:4" x14ac:dyDescent="0.45">
      <c r="D5821" s="47"/>
    </row>
    <row r="5822" spans="4:4" x14ac:dyDescent="0.45">
      <c r="D5822" s="47"/>
    </row>
    <row r="5823" spans="4:4" x14ac:dyDescent="0.45">
      <c r="D5823" s="47"/>
    </row>
    <row r="5824" spans="4:4" x14ac:dyDescent="0.45">
      <c r="D5824" s="47"/>
    </row>
    <row r="5825" spans="4:4" x14ac:dyDescent="0.45">
      <c r="D5825" s="47"/>
    </row>
    <row r="5826" spans="4:4" x14ac:dyDescent="0.45">
      <c r="D5826" s="47"/>
    </row>
    <row r="5827" spans="4:4" x14ac:dyDescent="0.45">
      <c r="D5827" s="47"/>
    </row>
    <row r="5828" spans="4:4" x14ac:dyDescent="0.45">
      <c r="D5828" s="47"/>
    </row>
    <row r="5829" spans="4:4" x14ac:dyDescent="0.45">
      <c r="D5829" s="47"/>
    </row>
    <row r="5830" spans="4:4" x14ac:dyDescent="0.45">
      <c r="D5830" s="47"/>
    </row>
    <row r="5831" spans="4:4" x14ac:dyDescent="0.45">
      <c r="D5831" s="47"/>
    </row>
    <row r="5832" spans="4:4" x14ac:dyDescent="0.45">
      <c r="D5832" s="47"/>
    </row>
    <row r="5833" spans="4:4" x14ac:dyDescent="0.45">
      <c r="D5833" s="47"/>
    </row>
    <row r="5834" spans="4:4" x14ac:dyDescent="0.45">
      <c r="D5834" s="47"/>
    </row>
    <row r="5835" spans="4:4" x14ac:dyDescent="0.45">
      <c r="D5835" s="47"/>
    </row>
    <row r="5836" spans="4:4" x14ac:dyDescent="0.45">
      <c r="D5836" s="47"/>
    </row>
    <row r="5837" spans="4:4" x14ac:dyDescent="0.45">
      <c r="D5837" s="47"/>
    </row>
    <row r="5838" spans="4:4" x14ac:dyDescent="0.45">
      <c r="D5838" s="47"/>
    </row>
    <row r="5839" spans="4:4" x14ac:dyDescent="0.45">
      <c r="D5839" s="47"/>
    </row>
    <row r="5840" spans="4:4" x14ac:dyDescent="0.45">
      <c r="D5840" s="47"/>
    </row>
    <row r="5841" spans="4:4" x14ac:dyDescent="0.45">
      <c r="D5841" s="47"/>
    </row>
    <row r="5842" spans="4:4" x14ac:dyDescent="0.45">
      <c r="D5842" s="47"/>
    </row>
    <row r="5843" spans="4:4" x14ac:dyDescent="0.45">
      <c r="D5843" s="47"/>
    </row>
    <row r="5844" spans="4:4" x14ac:dyDescent="0.45">
      <c r="D5844" s="47"/>
    </row>
    <row r="5845" spans="4:4" x14ac:dyDescent="0.45">
      <c r="D5845" s="47"/>
    </row>
    <row r="5846" spans="4:4" x14ac:dyDescent="0.45">
      <c r="D5846" s="47"/>
    </row>
    <row r="5847" spans="4:4" x14ac:dyDescent="0.45">
      <c r="D5847" s="47"/>
    </row>
    <row r="5848" spans="4:4" x14ac:dyDescent="0.45">
      <c r="D5848" s="47"/>
    </row>
    <row r="5849" spans="4:4" x14ac:dyDescent="0.45">
      <c r="D5849" s="47"/>
    </row>
    <row r="5850" spans="4:4" x14ac:dyDescent="0.45">
      <c r="D5850" s="47"/>
    </row>
    <row r="5851" spans="4:4" x14ac:dyDescent="0.45">
      <c r="D5851" s="47"/>
    </row>
    <row r="5852" spans="4:4" x14ac:dyDescent="0.45">
      <c r="D5852" s="47"/>
    </row>
    <row r="5853" spans="4:4" x14ac:dyDescent="0.45">
      <c r="D5853" s="47"/>
    </row>
    <row r="5854" spans="4:4" x14ac:dyDescent="0.45">
      <c r="D5854" s="47"/>
    </row>
    <row r="5855" spans="4:4" x14ac:dyDescent="0.45">
      <c r="D5855" s="47"/>
    </row>
    <row r="5856" spans="4:4" x14ac:dyDescent="0.45">
      <c r="D5856" s="47"/>
    </row>
    <row r="5857" spans="4:4" x14ac:dyDescent="0.45">
      <c r="D5857" s="47"/>
    </row>
    <row r="5858" spans="4:4" x14ac:dyDescent="0.45">
      <c r="D5858" s="47"/>
    </row>
    <row r="5859" spans="4:4" x14ac:dyDescent="0.45">
      <c r="D5859" s="47"/>
    </row>
    <row r="5860" spans="4:4" x14ac:dyDescent="0.45">
      <c r="D5860" s="47"/>
    </row>
    <row r="5861" spans="4:4" x14ac:dyDescent="0.45">
      <c r="D5861" s="47"/>
    </row>
    <row r="5862" spans="4:4" x14ac:dyDescent="0.45">
      <c r="D5862" s="47"/>
    </row>
    <row r="5863" spans="4:4" x14ac:dyDescent="0.45">
      <c r="D5863" s="47"/>
    </row>
    <row r="5864" spans="4:4" x14ac:dyDescent="0.45">
      <c r="D5864" s="47"/>
    </row>
    <row r="5865" spans="4:4" x14ac:dyDescent="0.45">
      <c r="D5865" s="47"/>
    </row>
    <row r="5866" spans="4:4" x14ac:dyDescent="0.45">
      <c r="D5866" s="47"/>
    </row>
    <row r="5867" spans="4:4" x14ac:dyDescent="0.45">
      <c r="D5867" s="47"/>
    </row>
    <row r="5868" spans="4:4" x14ac:dyDescent="0.45">
      <c r="D5868" s="47"/>
    </row>
    <row r="5869" spans="4:4" x14ac:dyDescent="0.45">
      <c r="D5869" s="47"/>
    </row>
    <row r="5870" spans="4:4" x14ac:dyDescent="0.45">
      <c r="D5870" s="47"/>
    </row>
    <row r="5871" spans="4:4" x14ac:dyDescent="0.45">
      <c r="D5871" s="47"/>
    </row>
    <row r="5872" spans="4:4" x14ac:dyDescent="0.45">
      <c r="D5872" s="47"/>
    </row>
    <row r="5873" spans="4:4" x14ac:dyDescent="0.45">
      <c r="D5873" s="47"/>
    </row>
    <row r="5874" spans="4:4" x14ac:dyDescent="0.45">
      <c r="D5874" s="47"/>
    </row>
    <row r="5875" spans="4:4" x14ac:dyDescent="0.45">
      <c r="D5875" s="47"/>
    </row>
    <row r="5876" spans="4:4" x14ac:dyDescent="0.45">
      <c r="D5876" s="47"/>
    </row>
    <row r="5877" spans="4:4" x14ac:dyDescent="0.45">
      <c r="D5877" s="47"/>
    </row>
    <row r="5878" spans="4:4" x14ac:dyDescent="0.45">
      <c r="D5878" s="47"/>
    </row>
    <row r="5879" spans="4:4" x14ac:dyDescent="0.45">
      <c r="D5879" s="47"/>
    </row>
    <row r="5880" spans="4:4" x14ac:dyDescent="0.45">
      <c r="D5880" s="47"/>
    </row>
    <row r="5881" spans="4:4" x14ac:dyDescent="0.45">
      <c r="D5881" s="47"/>
    </row>
    <row r="5882" spans="4:4" x14ac:dyDescent="0.45">
      <c r="D5882" s="47"/>
    </row>
    <row r="5883" spans="4:4" x14ac:dyDescent="0.45">
      <c r="D5883" s="47"/>
    </row>
    <row r="5884" spans="4:4" x14ac:dyDescent="0.45">
      <c r="D5884" s="47"/>
    </row>
    <row r="5885" spans="4:4" x14ac:dyDescent="0.45">
      <c r="D5885" s="47"/>
    </row>
    <row r="5886" spans="4:4" x14ac:dyDescent="0.45">
      <c r="D5886" s="47"/>
    </row>
    <row r="5887" spans="4:4" x14ac:dyDescent="0.45">
      <c r="D5887" s="47"/>
    </row>
    <row r="5888" spans="4:4" x14ac:dyDescent="0.45">
      <c r="D5888" s="47"/>
    </row>
    <row r="5889" spans="4:4" x14ac:dyDescent="0.45">
      <c r="D5889" s="47"/>
    </row>
    <row r="5890" spans="4:4" x14ac:dyDescent="0.45">
      <c r="D5890" s="47"/>
    </row>
    <row r="5891" spans="4:4" x14ac:dyDescent="0.45">
      <c r="D5891" s="47"/>
    </row>
    <row r="5892" spans="4:4" x14ac:dyDescent="0.45">
      <c r="D5892" s="47"/>
    </row>
    <row r="5893" spans="4:4" x14ac:dyDescent="0.45">
      <c r="D5893" s="47"/>
    </row>
    <row r="5894" spans="4:4" x14ac:dyDescent="0.45">
      <c r="D5894" s="47"/>
    </row>
    <row r="5895" spans="4:4" x14ac:dyDescent="0.45">
      <c r="D5895" s="47"/>
    </row>
    <row r="5896" spans="4:4" x14ac:dyDescent="0.45">
      <c r="D5896" s="47"/>
    </row>
    <row r="5897" spans="4:4" x14ac:dyDescent="0.45">
      <c r="D5897" s="47"/>
    </row>
    <row r="5898" spans="4:4" x14ac:dyDescent="0.45">
      <c r="D5898" s="47"/>
    </row>
    <row r="5899" spans="4:4" x14ac:dyDescent="0.45">
      <c r="D5899" s="47"/>
    </row>
    <row r="5900" spans="4:4" x14ac:dyDescent="0.45">
      <c r="D5900" s="47"/>
    </row>
    <row r="5901" spans="4:4" x14ac:dyDescent="0.45">
      <c r="D5901" s="47"/>
    </row>
    <row r="5902" spans="4:4" x14ac:dyDescent="0.45">
      <c r="D5902" s="47"/>
    </row>
    <row r="5903" spans="4:4" x14ac:dyDescent="0.45">
      <c r="D5903" s="47"/>
    </row>
    <row r="5904" spans="4:4" x14ac:dyDescent="0.45">
      <c r="D5904" s="47"/>
    </row>
    <row r="5905" spans="4:4" x14ac:dyDescent="0.45">
      <c r="D5905" s="47"/>
    </row>
    <row r="5906" spans="4:4" x14ac:dyDescent="0.45">
      <c r="D5906" s="47"/>
    </row>
    <row r="5907" spans="4:4" x14ac:dyDescent="0.45">
      <c r="D5907" s="47"/>
    </row>
    <row r="5908" spans="4:4" x14ac:dyDescent="0.45">
      <c r="D5908" s="47"/>
    </row>
    <row r="5909" spans="4:4" x14ac:dyDescent="0.45">
      <c r="D5909" s="47"/>
    </row>
    <row r="5910" spans="4:4" x14ac:dyDescent="0.45">
      <c r="D5910" s="47"/>
    </row>
    <row r="5911" spans="4:4" x14ac:dyDescent="0.45">
      <c r="D5911" s="47"/>
    </row>
    <row r="5912" spans="4:4" x14ac:dyDescent="0.45">
      <c r="D5912" s="47"/>
    </row>
    <row r="5913" spans="4:4" x14ac:dyDescent="0.45">
      <c r="D5913" s="47"/>
    </row>
    <row r="5914" spans="4:4" x14ac:dyDescent="0.45">
      <c r="D5914" s="47"/>
    </row>
    <row r="5915" spans="4:4" x14ac:dyDescent="0.45">
      <c r="D5915" s="47"/>
    </row>
    <row r="5916" spans="4:4" x14ac:dyDescent="0.45">
      <c r="D5916" s="47"/>
    </row>
    <row r="5917" spans="4:4" x14ac:dyDescent="0.45">
      <c r="D5917" s="47"/>
    </row>
    <row r="5918" spans="4:4" x14ac:dyDescent="0.45">
      <c r="D5918" s="47"/>
    </row>
    <row r="5919" spans="4:4" x14ac:dyDescent="0.45">
      <c r="D5919" s="47"/>
    </row>
    <row r="5920" spans="4:4" x14ac:dyDescent="0.45">
      <c r="D5920" s="47"/>
    </row>
    <row r="5921" spans="4:4" x14ac:dyDescent="0.45">
      <c r="D5921" s="47"/>
    </row>
    <row r="5922" spans="4:4" x14ac:dyDescent="0.45">
      <c r="D5922" s="47"/>
    </row>
    <row r="5923" spans="4:4" x14ac:dyDescent="0.45">
      <c r="D5923" s="47"/>
    </row>
    <row r="5924" spans="4:4" x14ac:dyDescent="0.45">
      <c r="D5924" s="47"/>
    </row>
    <row r="5925" spans="4:4" x14ac:dyDescent="0.45">
      <c r="D5925" s="47"/>
    </row>
    <row r="5926" spans="4:4" x14ac:dyDescent="0.45">
      <c r="D5926" s="47"/>
    </row>
    <row r="5927" spans="4:4" x14ac:dyDescent="0.45">
      <c r="D5927" s="47"/>
    </row>
    <row r="5928" spans="4:4" x14ac:dyDescent="0.45">
      <c r="D5928" s="47"/>
    </row>
    <row r="5929" spans="4:4" x14ac:dyDescent="0.45">
      <c r="D5929" s="47"/>
    </row>
    <row r="5930" spans="4:4" x14ac:dyDescent="0.45">
      <c r="D5930" s="47"/>
    </row>
    <row r="5931" spans="4:4" x14ac:dyDescent="0.45">
      <c r="D5931" s="47"/>
    </row>
    <row r="5932" spans="4:4" x14ac:dyDescent="0.45">
      <c r="D5932" s="47"/>
    </row>
    <row r="5933" spans="4:4" x14ac:dyDescent="0.45">
      <c r="D5933" s="47"/>
    </row>
    <row r="5934" spans="4:4" x14ac:dyDescent="0.45">
      <c r="D5934" s="47"/>
    </row>
    <row r="5935" spans="4:4" x14ac:dyDescent="0.45">
      <c r="D5935" s="47"/>
    </row>
    <row r="5936" spans="4:4" x14ac:dyDescent="0.45">
      <c r="D5936" s="47"/>
    </row>
    <row r="5937" spans="4:4" x14ac:dyDescent="0.45">
      <c r="D5937" s="47"/>
    </row>
    <row r="5938" spans="4:4" x14ac:dyDescent="0.45">
      <c r="D5938" s="47"/>
    </row>
    <row r="5939" spans="4:4" x14ac:dyDescent="0.45">
      <c r="D5939" s="47"/>
    </row>
    <row r="5940" spans="4:4" x14ac:dyDescent="0.45">
      <c r="D5940" s="47"/>
    </row>
    <row r="5941" spans="4:4" x14ac:dyDescent="0.45">
      <c r="D5941" s="47"/>
    </row>
    <row r="5942" spans="4:4" x14ac:dyDescent="0.45">
      <c r="D5942" s="47"/>
    </row>
    <row r="5943" spans="4:4" x14ac:dyDescent="0.45">
      <c r="D5943" s="47"/>
    </row>
    <row r="5944" spans="4:4" x14ac:dyDescent="0.45">
      <c r="D5944" s="47"/>
    </row>
    <row r="5945" spans="4:4" x14ac:dyDescent="0.45">
      <c r="D5945" s="47"/>
    </row>
    <row r="5946" spans="4:4" x14ac:dyDescent="0.45">
      <c r="D5946" s="47"/>
    </row>
    <row r="5947" spans="4:4" x14ac:dyDescent="0.45">
      <c r="D5947" s="47"/>
    </row>
    <row r="5948" spans="4:4" x14ac:dyDescent="0.45">
      <c r="D5948" s="47"/>
    </row>
    <row r="5949" spans="4:4" x14ac:dyDescent="0.45">
      <c r="D5949" s="47"/>
    </row>
    <row r="5950" spans="4:4" x14ac:dyDescent="0.45">
      <c r="D5950" s="47"/>
    </row>
    <row r="5951" spans="4:4" x14ac:dyDescent="0.45">
      <c r="D5951" s="47"/>
    </row>
    <row r="5952" spans="4:4" x14ac:dyDescent="0.45">
      <c r="D5952" s="47"/>
    </row>
    <row r="5953" spans="4:4" x14ac:dyDescent="0.45">
      <c r="D5953" s="47"/>
    </row>
    <row r="5954" spans="4:4" x14ac:dyDescent="0.45">
      <c r="D5954" s="47"/>
    </row>
    <row r="5955" spans="4:4" x14ac:dyDescent="0.45">
      <c r="D5955" s="47"/>
    </row>
    <row r="5956" spans="4:4" x14ac:dyDescent="0.45">
      <c r="D5956" s="47"/>
    </row>
    <row r="5957" spans="4:4" x14ac:dyDescent="0.45">
      <c r="D5957" s="47"/>
    </row>
    <row r="5958" spans="4:4" x14ac:dyDescent="0.45">
      <c r="D5958" s="47"/>
    </row>
    <row r="5959" spans="4:4" x14ac:dyDescent="0.45">
      <c r="D5959" s="47"/>
    </row>
    <row r="5960" spans="4:4" x14ac:dyDescent="0.45">
      <c r="D5960" s="47"/>
    </row>
    <row r="5961" spans="4:4" x14ac:dyDescent="0.45">
      <c r="D5961" s="47"/>
    </row>
    <row r="5962" spans="4:4" x14ac:dyDescent="0.45">
      <c r="D5962" s="47"/>
    </row>
    <row r="5963" spans="4:4" x14ac:dyDescent="0.45">
      <c r="D5963" s="47"/>
    </row>
    <row r="5964" spans="4:4" x14ac:dyDescent="0.45">
      <c r="D5964" s="47"/>
    </row>
    <row r="5965" spans="4:4" x14ac:dyDescent="0.45">
      <c r="D5965" s="47"/>
    </row>
    <row r="5966" spans="4:4" x14ac:dyDescent="0.45">
      <c r="D5966" s="47"/>
    </row>
    <row r="5967" spans="4:4" x14ac:dyDescent="0.45">
      <c r="D5967" s="47"/>
    </row>
    <row r="5968" spans="4:4" x14ac:dyDescent="0.45">
      <c r="D5968" s="47"/>
    </row>
    <row r="5969" spans="4:4" x14ac:dyDescent="0.45">
      <c r="D5969" s="47"/>
    </row>
    <row r="5970" spans="4:4" x14ac:dyDescent="0.45">
      <c r="D5970" s="47"/>
    </row>
    <row r="5971" spans="4:4" x14ac:dyDescent="0.45">
      <c r="D5971" s="47"/>
    </row>
    <row r="5972" spans="4:4" x14ac:dyDescent="0.45">
      <c r="D5972" s="47"/>
    </row>
    <row r="5973" spans="4:4" x14ac:dyDescent="0.45">
      <c r="D5973" s="47"/>
    </row>
    <row r="5974" spans="4:4" x14ac:dyDescent="0.45">
      <c r="D5974" s="47"/>
    </row>
    <row r="5975" spans="4:4" x14ac:dyDescent="0.45">
      <c r="D5975" s="47"/>
    </row>
    <row r="5976" spans="4:4" x14ac:dyDescent="0.45">
      <c r="D5976" s="47"/>
    </row>
    <row r="5977" spans="4:4" x14ac:dyDescent="0.45">
      <c r="D5977" s="47"/>
    </row>
    <row r="5978" spans="4:4" x14ac:dyDescent="0.45">
      <c r="D5978" s="47"/>
    </row>
    <row r="5979" spans="4:4" x14ac:dyDescent="0.45">
      <c r="D5979" s="47"/>
    </row>
    <row r="5980" spans="4:4" x14ac:dyDescent="0.45">
      <c r="D5980" s="47"/>
    </row>
    <row r="5981" spans="4:4" x14ac:dyDescent="0.45">
      <c r="D5981" s="47"/>
    </row>
    <row r="5982" spans="4:4" x14ac:dyDescent="0.45">
      <c r="D5982" s="47"/>
    </row>
    <row r="5983" spans="4:4" x14ac:dyDescent="0.45">
      <c r="D5983" s="47"/>
    </row>
    <row r="5984" spans="4:4" x14ac:dyDescent="0.45">
      <c r="D5984" s="47"/>
    </row>
    <row r="5985" spans="4:4" x14ac:dyDescent="0.45">
      <c r="D5985" s="47"/>
    </row>
    <row r="5986" spans="4:4" x14ac:dyDescent="0.45">
      <c r="D5986" s="47"/>
    </row>
    <row r="5987" spans="4:4" x14ac:dyDescent="0.45">
      <c r="D5987" s="47"/>
    </row>
    <row r="5988" spans="4:4" x14ac:dyDescent="0.45">
      <c r="D5988" s="47"/>
    </row>
    <row r="5989" spans="4:4" x14ac:dyDescent="0.45">
      <c r="D5989" s="47"/>
    </row>
    <row r="5990" spans="4:4" x14ac:dyDescent="0.45">
      <c r="D5990" s="47"/>
    </row>
    <row r="5991" spans="4:4" x14ac:dyDescent="0.45">
      <c r="D5991" s="47"/>
    </row>
    <row r="5992" spans="4:4" x14ac:dyDescent="0.45">
      <c r="D5992" s="47"/>
    </row>
    <row r="5993" spans="4:4" x14ac:dyDescent="0.45">
      <c r="D5993" s="47"/>
    </row>
    <row r="5994" spans="4:4" x14ac:dyDescent="0.45">
      <c r="D5994" s="47"/>
    </row>
    <row r="5995" spans="4:4" x14ac:dyDescent="0.45">
      <c r="D5995" s="47"/>
    </row>
    <row r="5996" spans="4:4" x14ac:dyDescent="0.45">
      <c r="D5996" s="47"/>
    </row>
    <row r="5997" spans="4:4" x14ac:dyDescent="0.45">
      <c r="D5997" s="47"/>
    </row>
    <row r="5998" spans="4:4" x14ac:dyDescent="0.45">
      <c r="D5998" s="47"/>
    </row>
    <row r="5999" spans="4:4" x14ac:dyDescent="0.45">
      <c r="D5999" s="47"/>
    </row>
    <row r="6000" spans="4:4" x14ac:dyDescent="0.45">
      <c r="D6000" s="47"/>
    </row>
    <row r="6001" spans="4:4" x14ac:dyDescent="0.45">
      <c r="D6001" s="47"/>
    </row>
    <row r="6002" spans="4:4" x14ac:dyDescent="0.45">
      <c r="D6002" s="47"/>
    </row>
    <row r="6003" spans="4:4" x14ac:dyDescent="0.45">
      <c r="D6003" s="47"/>
    </row>
    <row r="6004" spans="4:4" x14ac:dyDescent="0.45">
      <c r="D6004" s="47"/>
    </row>
    <row r="6005" spans="4:4" x14ac:dyDescent="0.45">
      <c r="D6005" s="47"/>
    </row>
    <row r="6006" spans="4:4" x14ac:dyDescent="0.45">
      <c r="D6006" s="47"/>
    </row>
    <row r="6007" spans="4:4" x14ac:dyDescent="0.45">
      <c r="D6007" s="47"/>
    </row>
    <row r="6008" spans="4:4" x14ac:dyDescent="0.45">
      <c r="D6008" s="47"/>
    </row>
    <row r="6009" spans="4:4" x14ac:dyDescent="0.45">
      <c r="D6009" s="47"/>
    </row>
    <row r="6010" spans="4:4" x14ac:dyDescent="0.45">
      <c r="D6010" s="47"/>
    </row>
    <row r="6011" spans="4:4" x14ac:dyDescent="0.45">
      <c r="D6011" s="47"/>
    </row>
    <row r="6012" spans="4:4" x14ac:dyDescent="0.45">
      <c r="D6012" s="47"/>
    </row>
    <row r="6013" spans="4:4" x14ac:dyDescent="0.45">
      <c r="D6013" s="47"/>
    </row>
    <row r="6014" spans="4:4" x14ac:dyDescent="0.45">
      <c r="D6014" s="47"/>
    </row>
    <row r="6015" spans="4:4" x14ac:dyDescent="0.45">
      <c r="D6015" s="47"/>
    </row>
    <row r="6016" spans="4:4" x14ac:dyDescent="0.45">
      <c r="D6016" s="47"/>
    </row>
    <row r="6017" spans="4:4" x14ac:dyDescent="0.45">
      <c r="D6017" s="47"/>
    </row>
    <row r="6018" spans="4:4" x14ac:dyDescent="0.45">
      <c r="D6018" s="47"/>
    </row>
    <row r="6019" spans="4:4" x14ac:dyDescent="0.45">
      <c r="D6019" s="47"/>
    </row>
    <row r="6020" spans="4:4" x14ac:dyDescent="0.45">
      <c r="D6020" s="47"/>
    </row>
    <row r="6021" spans="4:4" x14ac:dyDescent="0.45">
      <c r="D6021" s="47"/>
    </row>
    <row r="6022" spans="4:4" x14ac:dyDescent="0.45">
      <c r="D6022" s="47"/>
    </row>
    <row r="6023" spans="4:4" x14ac:dyDescent="0.45">
      <c r="D6023" s="47"/>
    </row>
    <row r="6024" spans="4:4" x14ac:dyDescent="0.45">
      <c r="D6024" s="47"/>
    </row>
    <row r="6025" spans="4:4" x14ac:dyDescent="0.45">
      <c r="D6025" s="47"/>
    </row>
    <row r="6026" spans="4:4" x14ac:dyDescent="0.45">
      <c r="D6026" s="47"/>
    </row>
    <row r="6027" spans="4:4" x14ac:dyDescent="0.45">
      <c r="D6027" s="47"/>
    </row>
    <row r="6028" spans="4:4" x14ac:dyDescent="0.45">
      <c r="D6028" s="47"/>
    </row>
    <row r="6029" spans="4:4" x14ac:dyDescent="0.45">
      <c r="D6029" s="47"/>
    </row>
    <row r="6030" spans="4:4" x14ac:dyDescent="0.45">
      <c r="D6030" s="47"/>
    </row>
    <row r="6031" spans="4:4" x14ac:dyDescent="0.45">
      <c r="D6031" s="47"/>
    </row>
    <row r="6032" spans="4:4" x14ac:dyDescent="0.45">
      <c r="D6032" s="47"/>
    </row>
    <row r="6033" spans="4:4" x14ac:dyDescent="0.45">
      <c r="D6033" s="47"/>
    </row>
    <row r="6034" spans="4:4" x14ac:dyDescent="0.45">
      <c r="D6034" s="47"/>
    </row>
    <row r="6035" spans="4:4" x14ac:dyDescent="0.45">
      <c r="D6035" s="47"/>
    </row>
    <row r="6036" spans="4:4" x14ac:dyDescent="0.45">
      <c r="D6036" s="47"/>
    </row>
    <row r="6037" spans="4:4" x14ac:dyDescent="0.45">
      <c r="D6037" s="47"/>
    </row>
    <row r="6038" spans="4:4" x14ac:dyDescent="0.45">
      <c r="D6038" s="47"/>
    </row>
    <row r="6039" spans="4:4" x14ac:dyDescent="0.45">
      <c r="D6039" s="47"/>
    </row>
    <row r="6040" spans="4:4" x14ac:dyDescent="0.45">
      <c r="D6040" s="47"/>
    </row>
    <row r="6041" spans="4:4" x14ac:dyDescent="0.45">
      <c r="D6041" s="47"/>
    </row>
    <row r="6042" spans="4:4" x14ac:dyDescent="0.45">
      <c r="D6042" s="47"/>
    </row>
    <row r="6043" spans="4:4" x14ac:dyDescent="0.45">
      <c r="D6043" s="47"/>
    </row>
    <row r="6044" spans="4:4" x14ac:dyDescent="0.45">
      <c r="D6044" s="47"/>
    </row>
    <row r="6045" spans="4:4" x14ac:dyDescent="0.45">
      <c r="D6045" s="47"/>
    </row>
    <row r="6046" spans="4:4" x14ac:dyDescent="0.45">
      <c r="D6046" s="47"/>
    </row>
    <row r="6047" spans="4:4" x14ac:dyDescent="0.45">
      <c r="D6047" s="47"/>
    </row>
    <row r="6048" spans="4:4" x14ac:dyDescent="0.45">
      <c r="D6048" s="47"/>
    </row>
    <row r="6049" spans="4:4" x14ac:dyDescent="0.45">
      <c r="D6049" s="47"/>
    </row>
    <row r="6050" spans="4:4" x14ac:dyDescent="0.45">
      <c r="D6050" s="47"/>
    </row>
    <row r="6051" spans="4:4" x14ac:dyDescent="0.45">
      <c r="D6051" s="47"/>
    </row>
    <row r="6052" spans="4:4" x14ac:dyDescent="0.45">
      <c r="D6052" s="47"/>
    </row>
    <row r="6053" spans="4:4" x14ac:dyDescent="0.45">
      <c r="D6053" s="47"/>
    </row>
    <row r="6054" spans="4:4" x14ac:dyDescent="0.45">
      <c r="D6054" s="47"/>
    </row>
    <row r="6055" spans="4:4" x14ac:dyDescent="0.45">
      <c r="D6055" s="47"/>
    </row>
    <row r="6056" spans="4:4" x14ac:dyDescent="0.45">
      <c r="D6056" s="47"/>
    </row>
    <row r="6057" spans="4:4" x14ac:dyDescent="0.45">
      <c r="D6057" s="47"/>
    </row>
    <row r="6058" spans="4:4" x14ac:dyDescent="0.45">
      <c r="D6058" s="47"/>
    </row>
    <row r="6059" spans="4:4" x14ac:dyDescent="0.45">
      <c r="D6059" s="47"/>
    </row>
    <row r="6060" spans="4:4" x14ac:dyDescent="0.45">
      <c r="D6060" s="47"/>
    </row>
    <row r="6061" spans="4:4" x14ac:dyDescent="0.45">
      <c r="D6061" s="47"/>
    </row>
    <row r="6062" spans="4:4" x14ac:dyDescent="0.45">
      <c r="D6062" s="47"/>
    </row>
    <row r="6063" spans="4:4" x14ac:dyDescent="0.45">
      <c r="D6063" s="47"/>
    </row>
    <row r="6064" spans="4:4" x14ac:dyDescent="0.45">
      <c r="D6064" s="47"/>
    </row>
    <row r="6065" spans="4:4" x14ac:dyDescent="0.45">
      <c r="D6065" s="47"/>
    </row>
    <row r="6066" spans="4:4" x14ac:dyDescent="0.45">
      <c r="D6066" s="47"/>
    </row>
    <row r="6067" spans="4:4" x14ac:dyDescent="0.45">
      <c r="D6067" s="47"/>
    </row>
    <row r="6068" spans="4:4" x14ac:dyDescent="0.45">
      <c r="D6068" s="47"/>
    </row>
    <row r="6069" spans="4:4" x14ac:dyDescent="0.45">
      <c r="D6069" s="47"/>
    </row>
    <row r="6070" spans="4:4" x14ac:dyDescent="0.45">
      <c r="D6070" s="47"/>
    </row>
    <row r="6071" spans="4:4" x14ac:dyDescent="0.45">
      <c r="D6071" s="47"/>
    </row>
    <row r="6072" spans="4:4" x14ac:dyDescent="0.45">
      <c r="D6072" s="47"/>
    </row>
    <row r="6073" spans="4:4" x14ac:dyDescent="0.45">
      <c r="D6073" s="47"/>
    </row>
    <row r="6074" spans="4:4" x14ac:dyDescent="0.45">
      <c r="D6074" s="47"/>
    </row>
    <row r="6075" spans="4:4" x14ac:dyDescent="0.45">
      <c r="D6075" s="47"/>
    </row>
    <row r="6076" spans="4:4" x14ac:dyDescent="0.45">
      <c r="D6076" s="47"/>
    </row>
    <row r="6077" spans="4:4" x14ac:dyDescent="0.45">
      <c r="D6077" s="47"/>
    </row>
    <row r="6078" spans="4:4" x14ac:dyDescent="0.45">
      <c r="D6078" s="47"/>
    </row>
    <row r="6079" spans="4:4" x14ac:dyDescent="0.45">
      <c r="D6079" s="47"/>
    </row>
    <row r="6080" spans="4:4" x14ac:dyDescent="0.45">
      <c r="D6080" s="47"/>
    </row>
    <row r="6081" spans="4:4" x14ac:dyDescent="0.45">
      <c r="D6081" s="47"/>
    </row>
    <row r="6082" spans="4:4" x14ac:dyDescent="0.45">
      <c r="D6082" s="47"/>
    </row>
    <row r="6083" spans="4:4" x14ac:dyDescent="0.45">
      <c r="D6083" s="47"/>
    </row>
    <row r="6084" spans="4:4" x14ac:dyDescent="0.45">
      <c r="D6084" s="47"/>
    </row>
    <row r="6085" spans="4:4" x14ac:dyDescent="0.45">
      <c r="D6085" s="47"/>
    </row>
    <row r="6086" spans="4:4" x14ac:dyDescent="0.45">
      <c r="D6086" s="47"/>
    </row>
    <row r="6087" spans="4:4" x14ac:dyDescent="0.45">
      <c r="D6087" s="47"/>
    </row>
    <row r="6088" spans="4:4" x14ac:dyDescent="0.45">
      <c r="D6088" s="47"/>
    </row>
    <row r="6089" spans="4:4" x14ac:dyDescent="0.45">
      <c r="D6089" s="47"/>
    </row>
    <row r="6090" spans="4:4" x14ac:dyDescent="0.45">
      <c r="D6090" s="47"/>
    </row>
    <row r="6091" spans="4:4" x14ac:dyDescent="0.45">
      <c r="D6091" s="47"/>
    </row>
    <row r="6092" spans="4:4" x14ac:dyDescent="0.45">
      <c r="D6092" s="47"/>
    </row>
    <row r="6093" spans="4:4" x14ac:dyDescent="0.45">
      <c r="D6093" s="47"/>
    </row>
    <row r="6094" spans="4:4" x14ac:dyDescent="0.45">
      <c r="D6094" s="47"/>
    </row>
    <row r="6095" spans="4:4" x14ac:dyDescent="0.45">
      <c r="D6095" s="47"/>
    </row>
    <row r="6096" spans="4:4" x14ac:dyDescent="0.45">
      <c r="D6096" s="47"/>
    </row>
    <row r="6097" spans="4:4" x14ac:dyDescent="0.45">
      <c r="D6097" s="47"/>
    </row>
    <row r="6098" spans="4:4" x14ac:dyDescent="0.45">
      <c r="D6098" s="47"/>
    </row>
    <row r="6099" spans="4:4" x14ac:dyDescent="0.45">
      <c r="D6099" s="47"/>
    </row>
    <row r="6100" spans="4:4" x14ac:dyDescent="0.45">
      <c r="D6100" s="47"/>
    </row>
    <row r="6101" spans="4:4" x14ac:dyDescent="0.45">
      <c r="D6101" s="47"/>
    </row>
    <row r="6102" spans="4:4" x14ac:dyDescent="0.45">
      <c r="D6102" s="47"/>
    </row>
    <row r="6103" spans="4:4" x14ac:dyDescent="0.45">
      <c r="D6103" s="47"/>
    </row>
    <row r="6104" spans="4:4" x14ac:dyDescent="0.45">
      <c r="D6104" s="47"/>
    </row>
    <row r="6105" spans="4:4" x14ac:dyDescent="0.45">
      <c r="D6105" s="47"/>
    </row>
    <row r="6106" spans="4:4" x14ac:dyDescent="0.45">
      <c r="D6106" s="47"/>
    </row>
    <row r="6107" spans="4:4" x14ac:dyDescent="0.45">
      <c r="D6107" s="47"/>
    </row>
    <row r="6108" spans="4:4" x14ac:dyDescent="0.45">
      <c r="D6108" s="47"/>
    </row>
    <row r="6109" spans="4:4" x14ac:dyDescent="0.45">
      <c r="D6109" s="47"/>
    </row>
    <row r="6110" spans="4:4" x14ac:dyDescent="0.45">
      <c r="D6110" s="47"/>
    </row>
    <row r="6111" spans="4:4" x14ac:dyDescent="0.45">
      <c r="D6111" s="47"/>
    </row>
    <row r="6112" spans="4:4" x14ac:dyDescent="0.45">
      <c r="D6112" s="47"/>
    </row>
    <row r="6113" spans="4:4" x14ac:dyDescent="0.45">
      <c r="D6113" s="47"/>
    </row>
    <row r="6114" spans="4:4" x14ac:dyDescent="0.45">
      <c r="D6114" s="47"/>
    </row>
    <row r="6115" spans="4:4" x14ac:dyDescent="0.45">
      <c r="D6115" s="47"/>
    </row>
    <row r="6116" spans="4:4" x14ac:dyDescent="0.45">
      <c r="D6116" s="47"/>
    </row>
    <row r="6117" spans="4:4" x14ac:dyDescent="0.45">
      <c r="D6117" s="47"/>
    </row>
    <row r="6118" spans="4:4" x14ac:dyDescent="0.45">
      <c r="D6118" s="47"/>
    </row>
    <row r="6119" spans="4:4" x14ac:dyDescent="0.45">
      <c r="D6119" s="47"/>
    </row>
    <row r="6120" spans="4:4" x14ac:dyDescent="0.45">
      <c r="D6120" s="47"/>
    </row>
    <row r="6121" spans="4:4" x14ac:dyDescent="0.45">
      <c r="D6121" s="47"/>
    </row>
    <row r="6122" spans="4:4" x14ac:dyDescent="0.45">
      <c r="D6122" s="47"/>
    </row>
    <row r="6123" spans="4:4" x14ac:dyDescent="0.45">
      <c r="D6123" s="47"/>
    </row>
    <row r="6124" spans="4:4" x14ac:dyDescent="0.45">
      <c r="D6124" s="47"/>
    </row>
    <row r="6125" spans="4:4" x14ac:dyDescent="0.45">
      <c r="D6125" s="47"/>
    </row>
    <row r="6126" spans="4:4" x14ac:dyDescent="0.45">
      <c r="D6126" s="47"/>
    </row>
    <row r="6127" spans="4:4" x14ac:dyDescent="0.45">
      <c r="D6127" s="47"/>
    </row>
    <row r="6128" spans="4:4" x14ac:dyDescent="0.45">
      <c r="D6128" s="47"/>
    </row>
    <row r="6129" spans="4:4" x14ac:dyDescent="0.45">
      <c r="D6129" s="47"/>
    </row>
    <row r="6130" spans="4:4" x14ac:dyDescent="0.45">
      <c r="D6130" s="47"/>
    </row>
    <row r="6131" spans="4:4" x14ac:dyDescent="0.45">
      <c r="D6131" s="47"/>
    </row>
    <row r="6132" spans="4:4" x14ac:dyDescent="0.45">
      <c r="D6132" s="47"/>
    </row>
    <row r="6133" spans="4:4" x14ac:dyDescent="0.45">
      <c r="D6133" s="47"/>
    </row>
    <row r="6134" spans="4:4" x14ac:dyDescent="0.45">
      <c r="D6134" s="47"/>
    </row>
    <row r="6135" spans="4:4" x14ac:dyDescent="0.45">
      <c r="D6135" s="47"/>
    </row>
    <row r="6136" spans="4:4" x14ac:dyDescent="0.45">
      <c r="D6136" s="47"/>
    </row>
    <row r="6137" spans="4:4" x14ac:dyDescent="0.45">
      <c r="D6137" s="47"/>
    </row>
    <row r="6138" spans="4:4" x14ac:dyDescent="0.45">
      <c r="D6138" s="47"/>
    </row>
    <row r="6139" spans="4:4" x14ac:dyDescent="0.45">
      <c r="D6139" s="47"/>
    </row>
    <row r="6140" spans="4:4" x14ac:dyDescent="0.45">
      <c r="D6140" s="47"/>
    </row>
    <row r="6141" spans="4:4" x14ac:dyDescent="0.45">
      <c r="D6141" s="47"/>
    </row>
    <row r="6142" spans="4:4" x14ac:dyDescent="0.45">
      <c r="D6142" s="47"/>
    </row>
    <row r="6143" spans="4:4" x14ac:dyDescent="0.45">
      <c r="D6143" s="47"/>
    </row>
    <row r="6144" spans="4:4" x14ac:dyDescent="0.45">
      <c r="D6144" s="47"/>
    </row>
    <row r="6145" spans="4:4" x14ac:dyDescent="0.45">
      <c r="D6145" s="47"/>
    </row>
    <row r="6146" spans="4:4" x14ac:dyDescent="0.45">
      <c r="D6146" s="47"/>
    </row>
    <row r="6147" spans="4:4" x14ac:dyDescent="0.45">
      <c r="D6147" s="47"/>
    </row>
    <row r="6148" spans="4:4" x14ac:dyDescent="0.45">
      <c r="D6148" s="47"/>
    </row>
    <row r="6149" spans="4:4" x14ac:dyDescent="0.45">
      <c r="D6149" s="47"/>
    </row>
    <row r="6150" spans="4:4" x14ac:dyDescent="0.45">
      <c r="D6150" s="47"/>
    </row>
    <row r="6151" spans="4:4" x14ac:dyDescent="0.45">
      <c r="D6151" s="47"/>
    </row>
    <row r="6152" spans="4:4" x14ac:dyDescent="0.45">
      <c r="D6152" s="47"/>
    </row>
    <row r="6153" spans="4:4" x14ac:dyDescent="0.45">
      <c r="D6153" s="47"/>
    </row>
    <row r="6154" spans="4:4" x14ac:dyDescent="0.45">
      <c r="D6154" s="47"/>
    </row>
    <row r="6155" spans="4:4" x14ac:dyDescent="0.45">
      <c r="D6155" s="47"/>
    </row>
    <row r="6156" spans="4:4" x14ac:dyDescent="0.45">
      <c r="D6156" s="47"/>
    </row>
    <row r="6157" spans="4:4" x14ac:dyDescent="0.45">
      <c r="D6157" s="47"/>
    </row>
    <row r="6158" spans="4:4" x14ac:dyDescent="0.45">
      <c r="D6158" s="47"/>
    </row>
    <row r="6159" spans="4:4" x14ac:dyDescent="0.45">
      <c r="D6159" s="47"/>
    </row>
    <row r="6160" spans="4:4" x14ac:dyDescent="0.45">
      <c r="D6160" s="47"/>
    </row>
    <row r="6161" spans="4:4" x14ac:dyDescent="0.45">
      <c r="D6161" s="47"/>
    </row>
    <row r="6162" spans="4:4" x14ac:dyDescent="0.45">
      <c r="D6162" s="47"/>
    </row>
    <row r="6163" spans="4:4" x14ac:dyDescent="0.45">
      <c r="D6163" s="47"/>
    </row>
    <row r="6164" spans="4:4" x14ac:dyDescent="0.45">
      <c r="D6164" s="47"/>
    </row>
    <row r="6165" spans="4:4" x14ac:dyDescent="0.45">
      <c r="D6165" s="47"/>
    </row>
    <row r="6166" spans="4:4" x14ac:dyDescent="0.45">
      <c r="D6166" s="47"/>
    </row>
    <row r="6167" spans="4:4" x14ac:dyDescent="0.45">
      <c r="D6167" s="47"/>
    </row>
    <row r="6168" spans="4:4" x14ac:dyDescent="0.45">
      <c r="D6168" s="47"/>
    </row>
    <row r="6169" spans="4:4" x14ac:dyDescent="0.45">
      <c r="D6169" s="47"/>
    </row>
    <row r="6170" spans="4:4" x14ac:dyDescent="0.45">
      <c r="D6170" s="47"/>
    </row>
    <row r="6171" spans="4:4" x14ac:dyDescent="0.45">
      <c r="D6171" s="47"/>
    </row>
    <row r="6172" spans="4:4" x14ac:dyDescent="0.45">
      <c r="D6172" s="47"/>
    </row>
    <row r="6173" spans="4:4" x14ac:dyDescent="0.45">
      <c r="D6173" s="47"/>
    </row>
    <row r="6174" spans="4:4" x14ac:dyDescent="0.45">
      <c r="D6174" s="47"/>
    </row>
    <row r="6175" spans="4:4" x14ac:dyDescent="0.45">
      <c r="D6175" s="47"/>
    </row>
    <row r="6176" spans="4:4" x14ac:dyDescent="0.45">
      <c r="D6176" s="47"/>
    </row>
    <row r="6177" spans="4:4" x14ac:dyDescent="0.45">
      <c r="D6177" s="47"/>
    </row>
    <row r="6178" spans="4:4" x14ac:dyDescent="0.45">
      <c r="D6178" s="47"/>
    </row>
    <row r="6179" spans="4:4" x14ac:dyDescent="0.45">
      <c r="D6179" s="47"/>
    </row>
    <row r="6180" spans="4:4" x14ac:dyDescent="0.45">
      <c r="D6180" s="47"/>
    </row>
    <row r="6181" spans="4:4" x14ac:dyDescent="0.45">
      <c r="D6181" s="47"/>
    </row>
    <row r="6182" spans="4:4" x14ac:dyDescent="0.45">
      <c r="D6182" s="47"/>
    </row>
    <row r="6183" spans="4:4" x14ac:dyDescent="0.45">
      <c r="D6183" s="47"/>
    </row>
    <row r="6184" spans="4:4" x14ac:dyDescent="0.45">
      <c r="D6184" s="47"/>
    </row>
    <row r="6185" spans="4:4" x14ac:dyDescent="0.45">
      <c r="D6185" s="47"/>
    </row>
    <row r="6186" spans="4:4" x14ac:dyDescent="0.45">
      <c r="D6186" s="47"/>
    </row>
    <row r="6187" spans="4:4" x14ac:dyDescent="0.45">
      <c r="D6187" s="47"/>
    </row>
    <row r="6188" spans="4:4" x14ac:dyDescent="0.45">
      <c r="D6188" s="47"/>
    </row>
    <row r="6189" spans="4:4" x14ac:dyDescent="0.45">
      <c r="D6189" s="47"/>
    </row>
    <row r="6190" spans="4:4" x14ac:dyDescent="0.45">
      <c r="D6190" s="47"/>
    </row>
    <row r="6191" spans="4:4" x14ac:dyDescent="0.45">
      <c r="D6191" s="47"/>
    </row>
    <row r="6192" spans="4:4" x14ac:dyDescent="0.45">
      <c r="D6192" s="47"/>
    </row>
    <row r="6193" spans="4:4" x14ac:dyDescent="0.45">
      <c r="D6193" s="47"/>
    </row>
    <row r="6194" spans="4:4" x14ac:dyDescent="0.45">
      <c r="D6194" s="47"/>
    </row>
    <row r="6195" spans="4:4" x14ac:dyDescent="0.45">
      <c r="D6195" s="47"/>
    </row>
    <row r="6196" spans="4:4" x14ac:dyDescent="0.45">
      <c r="D6196" s="47"/>
    </row>
    <row r="6197" spans="4:4" x14ac:dyDescent="0.45">
      <c r="D6197" s="47"/>
    </row>
    <row r="6198" spans="4:4" x14ac:dyDescent="0.45">
      <c r="D6198" s="47"/>
    </row>
    <row r="6199" spans="4:4" x14ac:dyDescent="0.45">
      <c r="D6199" s="47"/>
    </row>
    <row r="6200" spans="4:4" x14ac:dyDescent="0.45">
      <c r="D6200" s="47"/>
    </row>
    <row r="6201" spans="4:4" x14ac:dyDescent="0.45">
      <c r="D6201" s="47"/>
    </row>
    <row r="6202" spans="4:4" x14ac:dyDescent="0.45">
      <c r="D6202" s="47"/>
    </row>
    <row r="6203" spans="4:4" x14ac:dyDescent="0.45">
      <c r="D6203" s="47"/>
    </row>
    <row r="6204" spans="4:4" x14ac:dyDescent="0.45">
      <c r="D6204" s="47"/>
    </row>
    <row r="6205" spans="4:4" x14ac:dyDescent="0.45">
      <c r="D6205" s="47"/>
    </row>
    <row r="6206" spans="4:4" x14ac:dyDescent="0.45">
      <c r="D6206" s="47"/>
    </row>
    <row r="6207" spans="4:4" x14ac:dyDescent="0.45">
      <c r="D6207" s="47"/>
    </row>
    <row r="6208" spans="4:4" x14ac:dyDescent="0.45">
      <c r="D6208" s="47"/>
    </row>
    <row r="6209" spans="4:4" x14ac:dyDescent="0.45">
      <c r="D6209" s="47"/>
    </row>
    <row r="6210" spans="4:4" x14ac:dyDescent="0.45">
      <c r="D6210" s="47"/>
    </row>
    <row r="6211" spans="4:4" x14ac:dyDescent="0.45">
      <c r="D6211" s="47"/>
    </row>
    <row r="6212" spans="4:4" x14ac:dyDescent="0.45">
      <c r="D6212" s="47"/>
    </row>
    <row r="6213" spans="4:4" x14ac:dyDescent="0.45">
      <c r="D6213" s="47"/>
    </row>
    <row r="6214" spans="4:4" x14ac:dyDescent="0.45">
      <c r="D6214" s="47"/>
    </row>
    <row r="6215" spans="4:4" x14ac:dyDescent="0.45">
      <c r="D6215" s="47"/>
    </row>
    <row r="6216" spans="4:4" x14ac:dyDescent="0.45">
      <c r="D6216" s="47"/>
    </row>
    <row r="6217" spans="4:4" x14ac:dyDescent="0.45">
      <c r="D6217" s="47"/>
    </row>
    <row r="6218" spans="4:4" x14ac:dyDescent="0.45">
      <c r="D6218" s="47"/>
    </row>
    <row r="6219" spans="4:4" x14ac:dyDescent="0.45">
      <c r="D6219" s="47"/>
    </row>
    <row r="6220" spans="4:4" x14ac:dyDescent="0.45">
      <c r="D6220" s="47"/>
    </row>
    <row r="6221" spans="4:4" x14ac:dyDescent="0.45">
      <c r="D6221" s="47"/>
    </row>
    <row r="6222" spans="4:4" x14ac:dyDescent="0.45">
      <c r="D6222" s="47"/>
    </row>
    <row r="6223" spans="4:4" x14ac:dyDescent="0.45">
      <c r="D6223" s="47"/>
    </row>
    <row r="6224" spans="4:4" x14ac:dyDescent="0.45">
      <c r="D6224" s="47"/>
    </row>
    <row r="6225" spans="4:4" x14ac:dyDescent="0.45">
      <c r="D6225" s="47"/>
    </row>
    <row r="6226" spans="4:4" x14ac:dyDescent="0.45">
      <c r="D6226" s="47"/>
    </row>
    <row r="6227" spans="4:4" x14ac:dyDescent="0.45">
      <c r="D6227" s="47"/>
    </row>
    <row r="6228" spans="4:4" x14ac:dyDescent="0.45">
      <c r="D6228" s="47"/>
    </row>
    <row r="6229" spans="4:4" x14ac:dyDescent="0.45">
      <c r="D6229" s="47"/>
    </row>
    <row r="6230" spans="4:4" x14ac:dyDescent="0.45">
      <c r="D6230" s="47"/>
    </row>
    <row r="6231" spans="4:4" x14ac:dyDescent="0.45">
      <c r="D6231" s="47"/>
    </row>
    <row r="6232" spans="4:4" x14ac:dyDescent="0.45">
      <c r="D6232" s="47"/>
    </row>
    <row r="6233" spans="4:4" x14ac:dyDescent="0.45">
      <c r="D6233" s="47"/>
    </row>
    <row r="6234" spans="4:4" x14ac:dyDescent="0.45">
      <c r="D6234" s="47"/>
    </row>
    <row r="6235" spans="4:4" x14ac:dyDescent="0.45">
      <c r="D6235" s="47"/>
    </row>
    <row r="6236" spans="4:4" x14ac:dyDescent="0.45">
      <c r="D6236" s="47"/>
    </row>
    <row r="6237" spans="4:4" x14ac:dyDescent="0.45">
      <c r="D6237" s="47"/>
    </row>
    <row r="6238" spans="4:4" x14ac:dyDescent="0.45">
      <c r="D6238" s="47"/>
    </row>
    <row r="6239" spans="4:4" x14ac:dyDescent="0.45">
      <c r="D6239" s="47"/>
    </row>
    <row r="6240" spans="4:4" x14ac:dyDescent="0.45">
      <c r="D6240" s="47"/>
    </row>
    <row r="6241" spans="4:4" x14ac:dyDescent="0.45">
      <c r="D6241" s="47"/>
    </row>
    <row r="6242" spans="4:4" x14ac:dyDescent="0.45">
      <c r="D6242" s="47"/>
    </row>
    <row r="6243" spans="4:4" x14ac:dyDescent="0.45">
      <c r="D6243" s="47"/>
    </row>
    <row r="6244" spans="4:4" x14ac:dyDescent="0.45">
      <c r="D6244" s="47"/>
    </row>
    <row r="6245" spans="4:4" x14ac:dyDescent="0.45">
      <c r="D6245" s="47"/>
    </row>
    <row r="6246" spans="4:4" x14ac:dyDescent="0.45">
      <c r="D6246" s="47"/>
    </row>
    <row r="6247" spans="4:4" x14ac:dyDescent="0.45">
      <c r="D6247" s="47"/>
    </row>
    <row r="6248" spans="4:4" x14ac:dyDescent="0.45">
      <c r="D6248" s="47"/>
    </row>
    <row r="6249" spans="4:4" x14ac:dyDescent="0.45">
      <c r="D6249" s="47"/>
    </row>
    <row r="6250" spans="4:4" x14ac:dyDescent="0.45">
      <c r="D6250" s="47"/>
    </row>
    <row r="6251" spans="4:4" x14ac:dyDescent="0.45">
      <c r="D6251" s="47"/>
    </row>
    <row r="6252" spans="4:4" x14ac:dyDescent="0.45">
      <c r="D6252" s="47"/>
    </row>
    <row r="6253" spans="4:4" x14ac:dyDescent="0.45">
      <c r="D6253" s="47"/>
    </row>
    <row r="6254" spans="4:4" x14ac:dyDescent="0.45">
      <c r="D6254" s="47"/>
    </row>
    <row r="6255" spans="4:4" x14ac:dyDescent="0.45">
      <c r="D6255" s="47"/>
    </row>
    <row r="6256" spans="4:4" x14ac:dyDescent="0.45">
      <c r="D6256" s="47"/>
    </row>
    <row r="6257" spans="4:4" x14ac:dyDescent="0.45">
      <c r="D6257" s="47"/>
    </row>
    <row r="6258" spans="4:4" x14ac:dyDescent="0.45">
      <c r="D6258" s="47"/>
    </row>
    <row r="6259" spans="4:4" x14ac:dyDescent="0.45">
      <c r="D6259" s="47"/>
    </row>
    <row r="6260" spans="4:4" x14ac:dyDescent="0.45">
      <c r="D6260" s="47"/>
    </row>
    <row r="6261" spans="4:4" x14ac:dyDescent="0.45">
      <c r="D6261" s="47"/>
    </row>
    <row r="6262" spans="4:4" x14ac:dyDescent="0.45">
      <c r="D6262" s="47"/>
    </row>
    <row r="6263" spans="4:4" x14ac:dyDescent="0.45">
      <c r="D6263" s="47"/>
    </row>
    <row r="6264" spans="4:4" x14ac:dyDescent="0.45">
      <c r="D6264" s="47"/>
    </row>
    <row r="6265" spans="4:4" x14ac:dyDescent="0.45">
      <c r="D6265" s="47"/>
    </row>
    <row r="6266" spans="4:4" x14ac:dyDescent="0.45">
      <c r="D6266" s="47"/>
    </row>
    <row r="6267" spans="4:4" x14ac:dyDescent="0.45">
      <c r="D6267" s="47"/>
    </row>
    <row r="6268" spans="4:4" x14ac:dyDescent="0.45">
      <c r="D6268" s="47"/>
    </row>
    <row r="6269" spans="4:4" x14ac:dyDescent="0.45">
      <c r="D6269" s="47"/>
    </row>
    <row r="6270" spans="4:4" x14ac:dyDescent="0.45">
      <c r="D6270" s="47"/>
    </row>
    <row r="6271" spans="4:4" x14ac:dyDescent="0.45">
      <c r="D6271" s="47"/>
    </row>
    <row r="6272" spans="4:4" x14ac:dyDescent="0.45">
      <c r="D6272" s="47"/>
    </row>
    <row r="6273" spans="4:4" x14ac:dyDescent="0.45">
      <c r="D6273" s="47"/>
    </row>
    <row r="6274" spans="4:4" x14ac:dyDescent="0.45">
      <c r="D6274" s="47"/>
    </row>
    <row r="6275" spans="4:4" x14ac:dyDescent="0.45">
      <c r="D6275" s="47"/>
    </row>
    <row r="6276" spans="4:4" x14ac:dyDescent="0.45">
      <c r="D6276" s="47"/>
    </row>
    <row r="6277" spans="4:4" x14ac:dyDescent="0.45">
      <c r="D6277" s="47"/>
    </row>
    <row r="6278" spans="4:4" x14ac:dyDescent="0.45">
      <c r="D6278" s="47"/>
    </row>
    <row r="6279" spans="4:4" x14ac:dyDescent="0.45">
      <c r="D6279" s="47"/>
    </row>
    <row r="6280" spans="4:4" x14ac:dyDescent="0.45">
      <c r="D6280" s="47"/>
    </row>
    <row r="6281" spans="4:4" x14ac:dyDescent="0.45">
      <c r="D6281" s="47"/>
    </row>
    <row r="6282" spans="4:4" x14ac:dyDescent="0.45">
      <c r="D6282" s="47"/>
    </row>
    <row r="6283" spans="4:4" x14ac:dyDescent="0.45">
      <c r="D6283" s="47"/>
    </row>
    <row r="6284" spans="4:4" x14ac:dyDescent="0.45">
      <c r="D6284" s="47"/>
    </row>
    <row r="6285" spans="4:4" x14ac:dyDescent="0.45">
      <c r="D6285" s="47"/>
    </row>
    <row r="6286" spans="4:4" x14ac:dyDescent="0.45">
      <c r="D6286" s="47"/>
    </row>
    <row r="6287" spans="4:4" x14ac:dyDescent="0.45">
      <c r="D6287" s="47"/>
    </row>
    <row r="6288" spans="4:4" x14ac:dyDescent="0.45">
      <c r="D6288" s="47"/>
    </row>
    <row r="6289" spans="4:4" x14ac:dyDescent="0.45">
      <c r="D6289" s="47"/>
    </row>
    <row r="6290" spans="4:4" x14ac:dyDescent="0.45">
      <c r="D6290" s="47"/>
    </row>
    <row r="6291" spans="4:4" x14ac:dyDescent="0.45">
      <c r="D6291" s="47"/>
    </row>
    <row r="6292" spans="4:4" x14ac:dyDescent="0.45">
      <c r="D6292" s="47"/>
    </row>
    <row r="6293" spans="4:4" x14ac:dyDescent="0.45">
      <c r="D6293" s="47"/>
    </row>
    <row r="6294" spans="4:4" x14ac:dyDescent="0.45">
      <c r="D6294" s="47"/>
    </row>
    <row r="6295" spans="4:4" x14ac:dyDescent="0.45">
      <c r="D6295" s="47"/>
    </row>
    <row r="6296" spans="4:4" x14ac:dyDescent="0.45">
      <c r="D6296" s="47"/>
    </row>
    <row r="6297" spans="4:4" x14ac:dyDescent="0.45">
      <c r="D6297" s="47"/>
    </row>
    <row r="6298" spans="4:4" x14ac:dyDescent="0.45">
      <c r="D6298" s="47"/>
    </row>
    <row r="6299" spans="4:4" x14ac:dyDescent="0.45">
      <c r="D6299" s="47"/>
    </row>
    <row r="6300" spans="4:4" x14ac:dyDescent="0.45">
      <c r="D6300" s="47"/>
    </row>
    <row r="6301" spans="4:4" x14ac:dyDescent="0.45">
      <c r="D6301" s="47"/>
    </row>
    <row r="6302" spans="4:4" x14ac:dyDescent="0.45">
      <c r="D6302" s="47"/>
    </row>
    <row r="6303" spans="4:4" x14ac:dyDescent="0.45">
      <c r="D6303" s="47"/>
    </row>
    <row r="6304" spans="4:4" x14ac:dyDescent="0.45">
      <c r="D6304" s="47"/>
    </row>
    <row r="6305" spans="4:4" x14ac:dyDescent="0.45">
      <c r="D6305" s="47"/>
    </row>
    <row r="6306" spans="4:4" x14ac:dyDescent="0.45">
      <c r="D6306" s="47"/>
    </row>
    <row r="6307" spans="4:4" x14ac:dyDescent="0.45">
      <c r="D6307" s="47"/>
    </row>
    <row r="6308" spans="4:4" x14ac:dyDescent="0.45">
      <c r="D6308" s="47"/>
    </row>
    <row r="6309" spans="4:4" x14ac:dyDescent="0.45">
      <c r="D6309" s="47"/>
    </row>
    <row r="6310" spans="4:4" x14ac:dyDescent="0.45">
      <c r="D6310" s="47"/>
    </row>
    <row r="6311" spans="4:4" x14ac:dyDescent="0.45">
      <c r="D6311" s="47"/>
    </row>
    <row r="6312" spans="4:4" x14ac:dyDescent="0.45">
      <c r="D6312" s="47"/>
    </row>
    <row r="6313" spans="4:4" x14ac:dyDescent="0.45">
      <c r="D6313" s="47"/>
    </row>
    <row r="6314" spans="4:4" x14ac:dyDescent="0.45">
      <c r="D6314" s="47"/>
    </row>
    <row r="6315" spans="4:4" x14ac:dyDescent="0.45">
      <c r="D6315" s="47"/>
    </row>
    <row r="6316" spans="4:4" x14ac:dyDescent="0.45">
      <c r="D6316" s="47"/>
    </row>
    <row r="6317" spans="4:4" x14ac:dyDescent="0.45">
      <c r="D6317" s="47"/>
    </row>
    <row r="6318" spans="4:4" x14ac:dyDescent="0.45">
      <c r="D6318" s="47"/>
    </row>
    <row r="6319" spans="4:4" x14ac:dyDescent="0.45">
      <c r="D6319" s="47"/>
    </row>
    <row r="6320" spans="4:4" x14ac:dyDescent="0.45">
      <c r="D6320" s="47"/>
    </row>
    <row r="6321" spans="4:4" x14ac:dyDescent="0.45">
      <c r="D6321" s="47"/>
    </row>
    <row r="6322" spans="4:4" x14ac:dyDescent="0.45">
      <c r="D6322" s="47"/>
    </row>
    <row r="6323" spans="4:4" x14ac:dyDescent="0.45">
      <c r="D6323" s="47"/>
    </row>
    <row r="6324" spans="4:4" x14ac:dyDescent="0.45">
      <c r="D6324" s="47"/>
    </row>
    <row r="6325" spans="4:4" x14ac:dyDescent="0.45">
      <c r="D6325" s="47"/>
    </row>
    <row r="6326" spans="4:4" x14ac:dyDescent="0.45">
      <c r="D6326" s="47"/>
    </row>
    <row r="6327" spans="4:4" x14ac:dyDescent="0.45">
      <c r="D6327" s="47"/>
    </row>
    <row r="6328" spans="4:4" x14ac:dyDescent="0.45">
      <c r="D6328" s="47"/>
    </row>
    <row r="6329" spans="4:4" x14ac:dyDescent="0.45">
      <c r="D6329" s="47"/>
    </row>
    <row r="6330" spans="4:4" x14ac:dyDescent="0.45">
      <c r="D6330" s="47"/>
    </row>
    <row r="6331" spans="4:4" x14ac:dyDescent="0.45">
      <c r="D6331" s="47"/>
    </row>
    <row r="6332" spans="4:4" x14ac:dyDescent="0.45">
      <c r="D6332" s="47"/>
    </row>
    <row r="6333" spans="4:4" x14ac:dyDescent="0.45">
      <c r="D6333" s="47"/>
    </row>
    <row r="6334" spans="4:4" x14ac:dyDescent="0.45">
      <c r="D6334" s="47"/>
    </row>
    <row r="6335" spans="4:4" x14ac:dyDescent="0.45">
      <c r="D6335" s="47"/>
    </row>
    <row r="6336" spans="4:4" x14ac:dyDescent="0.45">
      <c r="D6336" s="47"/>
    </row>
    <row r="6337" spans="4:4" x14ac:dyDescent="0.45">
      <c r="D6337" s="47"/>
    </row>
    <row r="6338" spans="4:4" x14ac:dyDescent="0.45">
      <c r="D6338" s="47"/>
    </row>
    <row r="6339" spans="4:4" x14ac:dyDescent="0.45">
      <c r="D6339" s="47"/>
    </row>
    <row r="6340" spans="4:4" x14ac:dyDescent="0.45">
      <c r="D6340" s="47"/>
    </row>
    <row r="6341" spans="4:4" x14ac:dyDescent="0.45">
      <c r="D6341" s="47"/>
    </row>
    <row r="6342" spans="4:4" x14ac:dyDescent="0.45">
      <c r="D6342" s="47"/>
    </row>
    <row r="6343" spans="4:4" x14ac:dyDescent="0.45">
      <c r="D6343" s="47"/>
    </row>
    <row r="6344" spans="4:4" x14ac:dyDescent="0.45">
      <c r="D6344" s="47"/>
    </row>
    <row r="6345" spans="4:4" x14ac:dyDescent="0.45">
      <c r="D6345" s="47"/>
    </row>
    <row r="6346" spans="4:4" x14ac:dyDescent="0.45">
      <c r="D6346" s="47"/>
    </row>
    <row r="6347" spans="4:4" x14ac:dyDescent="0.45">
      <c r="D6347" s="47"/>
    </row>
    <row r="6348" spans="4:4" x14ac:dyDescent="0.45">
      <c r="D6348" s="47"/>
    </row>
    <row r="6349" spans="4:4" x14ac:dyDescent="0.45">
      <c r="D6349" s="47"/>
    </row>
    <row r="6350" spans="4:4" x14ac:dyDescent="0.45">
      <c r="D6350" s="47"/>
    </row>
    <row r="6351" spans="4:4" x14ac:dyDescent="0.45">
      <c r="D6351" s="47"/>
    </row>
    <row r="6352" spans="4:4" x14ac:dyDescent="0.45">
      <c r="D6352" s="47"/>
    </row>
    <row r="6353" spans="4:4" x14ac:dyDescent="0.45">
      <c r="D6353" s="47"/>
    </row>
    <row r="6354" spans="4:4" x14ac:dyDescent="0.45">
      <c r="D6354" s="47"/>
    </row>
    <row r="6355" spans="4:4" x14ac:dyDescent="0.45">
      <c r="D6355" s="47"/>
    </row>
    <row r="6356" spans="4:4" x14ac:dyDescent="0.45">
      <c r="D6356" s="47"/>
    </row>
    <row r="6357" spans="4:4" x14ac:dyDescent="0.45">
      <c r="D6357" s="47"/>
    </row>
    <row r="6358" spans="4:4" x14ac:dyDescent="0.45">
      <c r="D6358" s="47"/>
    </row>
    <row r="6359" spans="4:4" x14ac:dyDescent="0.45">
      <c r="D6359" s="47"/>
    </row>
    <row r="6360" spans="4:4" x14ac:dyDescent="0.45">
      <c r="D6360" s="47"/>
    </row>
    <row r="6361" spans="4:4" x14ac:dyDescent="0.45">
      <c r="D6361" s="47"/>
    </row>
    <row r="6362" spans="4:4" x14ac:dyDescent="0.45">
      <c r="D6362" s="47"/>
    </row>
    <row r="6363" spans="4:4" x14ac:dyDescent="0.45">
      <c r="D6363" s="47"/>
    </row>
    <row r="6364" spans="4:4" x14ac:dyDescent="0.45">
      <c r="D6364" s="47"/>
    </row>
    <row r="6365" spans="4:4" x14ac:dyDescent="0.45">
      <c r="D6365" s="47"/>
    </row>
    <row r="6366" spans="4:4" x14ac:dyDescent="0.45">
      <c r="D6366" s="47"/>
    </row>
    <row r="6367" spans="4:4" x14ac:dyDescent="0.45">
      <c r="D6367" s="47"/>
    </row>
    <row r="6368" spans="4:4" x14ac:dyDescent="0.45">
      <c r="D6368" s="47"/>
    </row>
    <row r="6369" spans="4:4" x14ac:dyDescent="0.45">
      <c r="D6369" s="47"/>
    </row>
    <row r="6370" spans="4:4" x14ac:dyDescent="0.45">
      <c r="D6370" s="47"/>
    </row>
    <row r="6371" spans="4:4" x14ac:dyDescent="0.45">
      <c r="D6371" s="47"/>
    </row>
    <row r="6372" spans="4:4" x14ac:dyDescent="0.45">
      <c r="D6372" s="47"/>
    </row>
    <row r="6373" spans="4:4" x14ac:dyDescent="0.45">
      <c r="D6373" s="47"/>
    </row>
    <row r="6374" spans="4:4" x14ac:dyDescent="0.45">
      <c r="D6374" s="47"/>
    </row>
    <row r="6375" spans="4:4" x14ac:dyDescent="0.45">
      <c r="D6375" s="47"/>
    </row>
    <row r="6376" spans="4:4" x14ac:dyDescent="0.45">
      <c r="D6376" s="47"/>
    </row>
    <row r="6377" spans="4:4" x14ac:dyDescent="0.45">
      <c r="D6377" s="47"/>
    </row>
    <row r="6378" spans="4:4" x14ac:dyDescent="0.45">
      <c r="D6378" s="47"/>
    </row>
    <row r="6379" spans="4:4" x14ac:dyDescent="0.45">
      <c r="D6379" s="47"/>
    </row>
    <row r="6380" spans="4:4" x14ac:dyDescent="0.45">
      <c r="D6380" s="47"/>
    </row>
    <row r="6381" spans="4:4" x14ac:dyDescent="0.45">
      <c r="D6381" s="47"/>
    </row>
    <row r="6382" spans="4:4" x14ac:dyDescent="0.45">
      <c r="D6382" s="47"/>
    </row>
    <row r="6383" spans="4:4" x14ac:dyDescent="0.45">
      <c r="D6383" s="47"/>
    </row>
    <row r="6384" spans="4:4" x14ac:dyDescent="0.45">
      <c r="D6384" s="47"/>
    </row>
    <row r="6385" spans="4:4" x14ac:dyDescent="0.45">
      <c r="D6385" s="47"/>
    </row>
    <row r="6386" spans="4:4" x14ac:dyDescent="0.45">
      <c r="D6386" s="47"/>
    </row>
    <row r="6387" spans="4:4" x14ac:dyDescent="0.45">
      <c r="D6387" s="47"/>
    </row>
    <row r="6388" spans="4:4" x14ac:dyDescent="0.45">
      <c r="D6388" s="47"/>
    </row>
    <row r="6389" spans="4:4" x14ac:dyDescent="0.45">
      <c r="D6389" s="47"/>
    </row>
    <row r="6390" spans="4:4" x14ac:dyDescent="0.45">
      <c r="D6390" s="47"/>
    </row>
    <row r="6391" spans="4:4" x14ac:dyDescent="0.45">
      <c r="D6391" s="47"/>
    </row>
    <row r="6392" spans="4:4" x14ac:dyDescent="0.45">
      <c r="D6392" s="47"/>
    </row>
    <row r="6393" spans="4:4" x14ac:dyDescent="0.45">
      <c r="D6393" s="47"/>
    </row>
    <row r="6394" spans="4:4" x14ac:dyDescent="0.45">
      <c r="D6394" s="47"/>
    </row>
    <row r="6395" spans="4:4" x14ac:dyDescent="0.45">
      <c r="D6395" s="47"/>
    </row>
    <row r="6396" spans="4:4" x14ac:dyDescent="0.45">
      <c r="D6396" s="47"/>
    </row>
    <row r="6397" spans="4:4" x14ac:dyDescent="0.45">
      <c r="D6397" s="47"/>
    </row>
    <row r="6398" spans="4:4" x14ac:dyDescent="0.45">
      <c r="D6398" s="47"/>
    </row>
    <row r="6399" spans="4:4" x14ac:dyDescent="0.45">
      <c r="D6399" s="47"/>
    </row>
    <row r="6400" spans="4:4" x14ac:dyDescent="0.45">
      <c r="D6400" s="47"/>
    </row>
    <row r="6401" spans="4:4" x14ac:dyDescent="0.45">
      <c r="D6401" s="47"/>
    </row>
    <row r="6402" spans="4:4" x14ac:dyDescent="0.45">
      <c r="D6402" s="47"/>
    </row>
    <row r="6403" spans="4:4" x14ac:dyDescent="0.45">
      <c r="D6403" s="47"/>
    </row>
    <row r="6404" spans="4:4" x14ac:dyDescent="0.45">
      <c r="D6404" s="47"/>
    </row>
    <row r="6405" spans="4:4" x14ac:dyDescent="0.45">
      <c r="D6405" s="47"/>
    </row>
    <row r="6406" spans="4:4" x14ac:dyDescent="0.45">
      <c r="D6406" s="47"/>
    </row>
    <row r="6407" spans="4:4" x14ac:dyDescent="0.45">
      <c r="D6407" s="47"/>
    </row>
    <row r="6408" spans="4:4" x14ac:dyDescent="0.45">
      <c r="D6408" s="47"/>
    </row>
    <row r="6409" spans="4:4" x14ac:dyDescent="0.45">
      <c r="D6409" s="47"/>
    </row>
    <row r="6410" spans="4:4" x14ac:dyDescent="0.45">
      <c r="D6410" s="47"/>
    </row>
    <row r="6411" spans="4:4" x14ac:dyDescent="0.45">
      <c r="D6411" s="47"/>
    </row>
    <row r="6412" spans="4:4" x14ac:dyDescent="0.45">
      <c r="D6412" s="47"/>
    </row>
    <row r="6413" spans="4:4" x14ac:dyDescent="0.45">
      <c r="D6413" s="47"/>
    </row>
    <row r="6414" spans="4:4" x14ac:dyDescent="0.45">
      <c r="D6414" s="47"/>
    </row>
    <row r="6415" spans="4:4" x14ac:dyDescent="0.45">
      <c r="D6415" s="47"/>
    </row>
    <row r="6416" spans="4:4" x14ac:dyDescent="0.45">
      <c r="D6416" s="47"/>
    </row>
    <row r="6417" spans="4:4" x14ac:dyDescent="0.45">
      <c r="D6417" s="47"/>
    </row>
    <row r="6418" spans="4:4" x14ac:dyDescent="0.45">
      <c r="D6418" s="47"/>
    </row>
    <row r="6419" spans="4:4" x14ac:dyDescent="0.45">
      <c r="D6419" s="47"/>
    </row>
    <row r="6420" spans="4:4" x14ac:dyDescent="0.45">
      <c r="D6420" s="47"/>
    </row>
    <row r="6421" spans="4:4" x14ac:dyDescent="0.45">
      <c r="D6421" s="47"/>
    </row>
    <row r="6422" spans="4:4" x14ac:dyDescent="0.45">
      <c r="D6422" s="47"/>
    </row>
    <row r="6423" spans="4:4" x14ac:dyDescent="0.45">
      <c r="D6423" s="47"/>
    </row>
    <row r="6424" spans="4:4" x14ac:dyDescent="0.45">
      <c r="D6424" s="47"/>
    </row>
    <row r="6425" spans="4:4" x14ac:dyDescent="0.45">
      <c r="D6425" s="47"/>
    </row>
    <row r="6426" spans="4:4" x14ac:dyDescent="0.45">
      <c r="D6426" s="47"/>
    </row>
    <row r="6427" spans="4:4" x14ac:dyDescent="0.45">
      <c r="D6427" s="47"/>
    </row>
    <row r="6428" spans="4:4" x14ac:dyDescent="0.45">
      <c r="D6428" s="47"/>
    </row>
    <row r="6429" spans="4:4" x14ac:dyDescent="0.45">
      <c r="D6429" s="47"/>
    </row>
    <row r="6430" spans="4:4" x14ac:dyDescent="0.45">
      <c r="D6430" s="47"/>
    </row>
    <row r="6431" spans="4:4" x14ac:dyDescent="0.45">
      <c r="D6431" s="47"/>
    </row>
    <row r="6432" spans="4:4" x14ac:dyDescent="0.45">
      <c r="D6432" s="47"/>
    </row>
    <row r="6433" spans="4:4" x14ac:dyDescent="0.45">
      <c r="D6433" s="47"/>
    </row>
    <row r="6434" spans="4:4" x14ac:dyDescent="0.45">
      <c r="D6434" s="47"/>
    </row>
    <row r="6435" spans="4:4" x14ac:dyDescent="0.45">
      <c r="D6435" s="47"/>
    </row>
    <row r="6436" spans="4:4" x14ac:dyDescent="0.45">
      <c r="D6436" s="47"/>
    </row>
    <row r="6437" spans="4:4" x14ac:dyDescent="0.45">
      <c r="D6437" s="47"/>
    </row>
    <row r="6438" spans="4:4" x14ac:dyDescent="0.45">
      <c r="D6438" s="47"/>
    </row>
    <row r="6439" spans="4:4" x14ac:dyDescent="0.45">
      <c r="D6439" s="47"/>
    </row>
    <row r="6440" spans="4:4" x14ac:dyDescent="0.45">
      <c r="D6440" s="47"/>
    </row>
    <row r="6441" spans="4:4" x14ac:dyDescent="0.45">
      <c r="D6441" s="47"/>
    </row>
    <row r="6442" spans="4:4" x14ac:dyDescent="0.45">
      <c r="D6442" s="47"/>
    </row>
    <row r="6443" spans="4:4" x14ac:dyDescent="0.45">
      <c r="D6443" s="47"/>
    </row>
    <row r="6444" spans="4:4" x14ac:dyDescent="0.45">
      <c r="D6444" s="47"/>
    </row>
    <row r="6445" spans="4:4" x14ac:dyDescent="0.45">
      <c r="D6445" s="47"/>
    </row>
    <row r="6446" spans="4:4" x14ac:dyDescent="0.45">
      <c r="D6446" s="47"/>
    </row>
    <row r="6447" spans="4:4" x14ac:dyDescent="0.45">
      <c r="D6447" s="47"/>
    </row>
    <row r="6448" spans="4:4" x14ac:dyDescent="0.45">
      <c r="D6448" s="47"/>
    </row>
    <row r="6449" spans="4:4" x14ac:dyDescent="0.45">
      <c r="D6449" s="47"/>
    </row>
    <row r="6450" spans="4:4" x14ac:dyDescent="0.45">
      <c r="D6450" s="47"/>
    </row>
    <row r="6451" spans="4:4" x14ac:dyDescent="0.45">
      <c r="D6451" s="47"/>
    </row>
    <row r="6452" spans="4:4" x14ac:dyDescent="0.45">
      <c r="D6452" s="47"/>
    </row>
    <row r="6453" spans="4:4" x14ac:dyDescent="0.45">
      <c r="D6453" s="47"/>
    </row>
    <row r="6454" spans="4:4" x14ac:dyDescent="0.45">
      <c r="D6454" s="47"/>
    </row>
    <row r="6455" spans="4:4" x14ac:dyDescent="0.45">
      <c r="D6455" s="47"/>
    </row>
    <row r="6456" spans="4:4" x14ac:dyDescent="0.45">
      <c r="D6456" s="47"/>
    </row>
    <row r="6457" spans="4:4" x14ac:dyDescent="0.45">
      <c r="D6457" s="47"/>
    </row>
    <row r="6458" spans="4:4" x14ac:dyDescent="0.45">
      <c r="D6458" s="47"/>
    </row>
    <row r="6459" spans="4:4" x14ac:dyDescent="0.45">
      <c r="D6459" s="47"/>
    </row>
    <row r="6460" spans="4:4" x14ac:dyDescent="0.45">
      <c r="D6460" s="47"/>
    </row>
    <row r="6461" spans="4:4" x14ac:dyDescent="0.45">
      <c r="D6461" s="47"/>
    </row>
    <row r="6462" spans="4:4" x14ac:dyDescent="0.45">
      <c r="D6462" s="47"/>
    </row>
    <row r="6463" spans="4:4" x14ac:dyDescent="0.45">
      <c r="D6463" s="47"/>
    </row>
    <row r="6464" spans="4:4" x14ac:dyDescent="0.45">
      <c r="D6464" s="47"/>
    </row>
    <row r="6465" spans="4:4" x14ac:dyDescent="0.45">
      <c r="D6465" s="47"/>
    </row>
    <row r="6466" spans="4:4" x14ac:dyDescent="0.45">
      <c r="D6466" s="47"/>
    </row>
    <row r="6467" spans="4:4" x14ac:dyDescent="0.45">
      <c r="D6467" s="47"/>
    </row>
    <row r="6468" spans="4:4" x14ac:dyDescent="0.45">
      <c r="D6468" s="47"/>
    </row>
    <row r="6469" spans="4:4" x14ac:dyDescent="0.45">
      <c r="D6469" s="47"/>
    </row>
    <row r="6470" spans="4:4" x14ac:dyDescent="0.45">
      <c r="D6470" s="47"/>
    </row>
    <row r="6471" spans="4:4" x14ac:dyDescent="0.45">
      <c r="D6471" s="47"/>
    </row>
    <row r="6472" spans="4:4" x14ac:dyDescent="0.45">
      <c r="D6472" s="47"/>
    </row>
    <row r="6473" spans="4:4" x14ac:dyDescent="0.45">
      <c r="D6473" s="47"/>
    </row>
    <row r="6474" spans="4:4" x14ac:dyDescent="0.45">
      <c r="D6474" s="47"/>
    </row>
    <row r="6475" spans="4:4" x14ac:dyDescent="0.45">
      <c r="D6475" s="47"/>
    </row>
    <row r="6476" spans="4:4" x14ac:dyDescent="0.45">
      <c r="D6476" s="47"/>
    </row>
    <row r="6477" spans="4:4" x14ac:dyDescent="0.45">
      <c r="D6477" s="47"/>
    </row>
    <row r="6478" spans="4:4" x14ac:dyDescent="0.45">
      <c r="D6478" s="47"/>
    </row>
    <row r="6479" spans="4:4" x14ac:dyDescent="0.45">
      <c r="D6479" s="47"/>
    </row>
    <row r="6480" spans="4:4" x14ac:dyDescent="0.45">
      <c r="D6480" s="47"/>
    </row>
    <row r="6481" spans="4:4" x14ac:dyDescent="0.45">
      <c r="D6481" s="47"/>
    </row>
    <row r="6482" spans="4:4" x14ac:dyDescent="0.45">
      <c r="D6482" s="47"/>
    </row>
    <row r="6483" spans="4:4" x14ac:dyDescent="0.45">
      <c r="D6483" s="47"/>
    </row>
    <row r="6484" spans="4:4" x14ac:dyDescent="0.45">
      <c r="D6484" s="47"/>
    </row>
    <row r="6485" spans="4:4" x14ac:dyDescent="0.45">
      <c r="D6485" s="47"/>
    </row>
    <row r="6486" spans="4:4" x14ac:dyDescent="0.45">
      <c r="D6486" s="47"/>
    </row>
    <row r="6487" spans="4:4" x14ac:dyDescent="0.45">
      <c r="D6487" s="47"/>
    </row>
    <row r="6488" spans="4:4" x14ac:dyDescent="0.45">
      <c r="D6488" s="47"/>
    </row>
    <row r="6489" spans="4:4" x14ac:dyDescent="0.45">
      <c r="D6489" s="47"/>
    </row>
    <row r="6490" spans="4:4" x14ac:dyDescent="0.45">
      <c r="D6490" s="47"/>
    </row>
    <row r="6491" spans="4:4" x14ac:dyDescent="0.45">
      <c r="D6491" s="47"/>
    </row>
    <row r="6492" spans="4:4" x14ac:dyDescent="0.45">
      <c r="D6492" s="47"/>
    </row>
    <row r="6493" spans="4:4" x14ac:dyDescent="0.45">
      <c r="D6493" s="47"/>
    </row>
    <row r="6494" spans="4:4" x14ac:dyDescent="0.45">
      <c r="D6494" s="47"/>
    </row>
    <row r="6495" spans="4:4" x14ac:dyDescent="0.45">
      <c r="D6495" s="47"/>
    </row>
    <row r="6496" spans="4:4" x14ac:dyDescent="0.45">
      <c r="D6496" s="47"/>
    </row>
    <row r="6497" spans="4:4" x14ac:dyDescent="0.45">
      <c r="D6497" s="47"/>
    </row>
    <row r="6498" spans="4:4" x14ac:dyDescent="0.45">
      <c r="D6498" s="47"/>
    </row>
    <row r="6499" spans="4:4" x14ac:dyDescent="0.45">
      <c r="D6499" s="47"/>
    </row>
    <row r="6500" spans="4:4" x14ac:dyDescent="0.45">
      <c r="D6500" s="47"/>
    </row>
    <row r="6501" spans="4:4" x14ac:dyDescent="0.45">
      <c r="D6501" s="47"/>
    </row>
    <row r="6502" spans="4:4" x14ac:dyDescent="0.45">
      <c r="D6502" s="47"/>
    </row>
    <row r="6503" spans="4:4" x14ac:dyDescent="0.45">
      <c r="D6503" s="47"/>
    </row>
    <row r="6504" spans="4:4" x14ac:dyDescent="0.45">
      <c r="D6504" s="47"/>
    </row>
    <row r="6505" spans="4:4" x14ac:dyDescent="0.45">
      <c r="D6505" s="47"/>
    </row>
    <row r="6506" spans="4:4" x14ac:dyDescent="0.45">
      <c r="D6506" s="47"/>
    </row>
    <row r="6507" spans="4:4" x14ac:dyDescent="0.45">
      <c r="D6507" s="47"/>
    </row>
    <row r="6508" spans="4:4" x14ac:dyDescent="0.45">
      <c r="D6508" s="47"/>
    </row>
    <row r="6509" spans="4:4" x14ac:dyDescent="0.45">
      <c r="D6509" s="47"/>
    </row>
    <row r="6510" spans="4:4" x14ac:dyDescent="0.45">
      <c r="D6510" s="47"/>
    </row>
    <row r="6511" spans="4:4" x14ac:dyDescent="0.45">
      <c r="D6511" s="47"/>
    </row>
    <row r="6512" spans="4:4" x14ac:dyDescent="0.45">
      <c r="D6512" s="47"/>
    </row>
    <row r="6513" spans="4:4" x14ac:dyDescent="0.45">
      <c r="D6513" s="47"/>
    </row>
    <row r="6514" spans="4:4" x14ac:dyDescent="0.45">
      <c r="D6514" s="47"/>
    </row>
    <row r="6515" spans="4:4" x14ac:dyDescent="0.45">
      <c r="D6515" s="47"/>
    </row>
    <row r="6516" spans="4:4" x14ac:dyDescent="0.45">
      <c r="D6516" s="47"/>
    </row>
    <row r="6517" spans="4:4" x14ac:dyDescent="0.45">
      <c r="D6517" s="47"/>
    </row>
    <row r="6518" spans="4:4" x14ac:dyDescent="0.45">
      <c r="D6518" s="47"/>
    </row>
    <row r="6519" spans="4:4" x14ac:dyDescent="0.45">
      <c r="D6519" s="47"/>
    </row>
    <row r="6520" spans="4:4" x14ac:dyDescent="0.45">
      <c r="D6520" s="47"/>
    </row>
    <row r="6521" spans="4:4" x14ac:dyDescent="0.45">
      <c r="D6521" s="47"/>
    </row>
    <row r="6522" spans="4:4" x14ac:dyDescent="0.45">
      <c r="D6522" s="47"/>
    </row>
    <row r="6523" spans="4:4" x14ac:dyDescent="0.45">
      <c r="D6523" s="47"/>
    </row>
    <row r="6524" spans="4:4" x14ac:dyDescent="0.45">
      <c r="D6524" s="47"/>
    </row>
    <row r="6525" spans="4:4" x14ac:dyDescent="0.45">
      <c r="D6525" s="47"/>
    </row>
    <row r="6526" spans="4:4" x14ac:dyDescent="0.45">
      <c r="D6526" s="47"/>
    </row>
    <row r="6527" spans="4:4" x14ac:dyDescent="0.45">
      <c r="D6527" s="47"/>
    </row>
    <row r="6528" spans="4:4" x14ac:dyDescent="0.45">
      <c r="D6528" s="47"/>
    </row>
    <row r="6529" spans="4:4" x14ac:dyDescent="0.45">
      <c r="D6529" s="47"/>
    </row>
    <row r="6530" spans="4:4" x14ac:dyDescent="0.45">
      <c r="D6530" s="47"/>
    </row>
    <row r="6531" spans="4:4" x14ac:dyDescent="0.45">
      <c r="D6531" s="47"/>
    </row>
    <row r="6532" spans="4:4" x14ac:dyDescent="0.45">
      <c r="D6532" s="47"/>
    </row>
    <row r="6533" spans="4:4" x14ac:dyDescent="0.45">
      <c r="D6533" s="47"/>
    </row>
    <row r="6534" spans="4:4" x14ac:dyDescent="0.45">
      <c r="D6534" s="47"/>
    </row>
    <row r="6535" spans="4:4" x14ac:dyDescent="0.45">
      <c r="D6535" s="47"/>
    </row>
    <row r="6536" spans="4:4" x14ac:dyDescent="0.45">
      <c r="D6536" s="47"/>
    </row>
    <row r="6537" spans="4:4" x14ac:dyDescent="0.45">
      <c r="D6537" s="47"/>
    </row>
    <row r="6538" spans="4:4" x14ac:dyDescent="0.45">
      <c r="D6538" s="47"/>
    </row>
    <row r="6539" spans="4:4" x14ac:dyDescent="0.45">
      <c r="D6539" s="47"/>
    </row>
    <row r="6540" spans="4:4" x14ac:dyDescent="0.45">
      <c r="D6540" s="47"/>
    </row>
    <row r="6541" spans="4:4" x14ac:dyDescent="0.45">
      <c r="D6541" s="47"/>
    </row>
    <row r="6542" spans="4:4" x14ac:dyDescent="0.45">
      <c r="D6542" s="47"/>
    </row>
    <row r="6543" spans="4:4" x14ac:dyDescent="0.45">
      <c r="D6543" s="47"/>
    </row>
    <row r="6544" spans="4:4" x14ac:dyDescent="0.45">
      <c r="D6544" s="47"/>
    </row>
    <row r="6545" spans="4:4" x14ac:dyDescent="0.45">
      <c r="D6545" s="47"/>
    </row>
    <row r="6546" spans="4:4" x14ac:dyDescent="0.45">
      <c r="D6546" s="47"/>
    </row>
    <row r="6547" spans="4:4" x14ac:dyDescent="0.45">
      <c r="D6547" s="47"/>
    </row>
    <row r="6548" spans="4:4" x14ac:dyDescent="0.45">
      <c r="D6548" s="47"/>
    </row>
    <row r="6549" spans="4:4" x14ac:dyDescent="0.45">
      <c r="D6549" s="47"/>
    </row>
    <row r="6550" spans="4:4" x14ac:dyDescent="0.45">
      <c r="D6550" s="47"/>
    </row>
    <row r="6551" spans="4:4" x14ac:dyDescent="0.45">
      <c r="D6551" s="47"/>
    </row>
    <row r="6552" spans="4:4" x14ac:dyDescent="0.45">
      <c r="D6552" s="47"/>
    </row>
    <row r="6553" spans="4:4" x14ac:dyDescent="0.45">
      <c r="D6553" s="47"/>
    </row>
    <row r="6554" spans="4:4" x14ac:dyDescent="0.45">
      <c r="D6554" s="47"/>
    </row>
    <row r="6555" spans="4:4" x14ac:dyDescent="0.45">
      <c r="D6555" s="47"/>
    </row>
    <row r="6556" spans="4:4" x14ac:dyDescent="0.45">
      <c r="D6556" s="47"/>
    </row>
    <row r="6557" spans="4:4" x14ac:dyDescent="0.45">
      <c r="D6557" s="47"/>
    </row>
    <row r="6558" spans="4:4" x14ac:dyDescent="0.45">
      <c r="D6558" s="47"/>
    </row>
    <row r="6559" spans="4:4" x14ac:dyDescent="0.45">
      <c r="D6559" s="47"/>
    </row>
    <row r="6560" spans="4:4" x14ac:dyDescent="0.45">
      <c r="D6560" s="47"/>
    </row>
    <row r="6561" spans="4:4" x14ac:dyDescent="0.45">
      <c r="D6561" s="47"/>
    </row>
    <row r="6562" spans="4:4" x14ac:dyDescent="0.45">
      <c r="D6562" s="47"/>
    </row>
    <row r="6563" spans="4:4" x14ac:dyDescent="0.45">
      <c r="D6563" s="47"/>
    </row>
    <row r="6564" spans="4:4" x14ac:dyDescent="0.45">
      <c r="D6564" s="47"/>
    </row>
    <row r="6565" spans="4:4" x14ac:dyDescent="0.45">
      <c r="D6565" s="47"/>
    </row>
    <row r="6566" spans="4:4" x14ac:dyDescent="0.45">
      <c r="D6566" s="47"/>
    </row>
    <row r="6567" spans="4:4" x14ac:dyDescent="0.45">
      <c r="D6567" s="47"/>
    </row>
    <row r="6568" spans="4:4" x14ac:dyDescent="0.45">
      <c r="D6568" s="47"/>
    </row>
    <row r="6569" spans="4:4" x14ac:dyDescent="0.45">
      <c r="D6569" s="47"/>
    </row>
    <row r="6570" spans="4:4" x14ac:dyDescent="0.45">
      <c r="D6570" s="47"/>
    </row>
    <row r="6571" spans="4:4" x14ac:dyDescent="0.45">
      <c r="D6571" s="47"/>
    </row>
    <row r="6572" spans="4:4" x14ac:dyDescent="0.45">
      <c r="D6572" s="47"/>
    </row>
    <row r="6573" spans="4:4" x14ac:dyDescent="0.45">
      <c r="D6573" s="47"/>
    </row>
    <row r="6574" spans="4:4" x14ac:dyDescent="0.45">
      <c r="D6574" s="47"/>
    </row>
    <row r="6575" spans="4:4" x14ac:dyDescent="0.45">
      <c r="D6575" s="47"/>
    </row>
    <row r="6576" spans="4:4" x14ac:dyDescent="0.45">
      <c r="D6576" s="47"/>
    </row>
    <row r="6577" spans="4:4" x14ac:dyDescent="0.45">
      <c r="D6577" s="47"/>
    </row>
    <row r="6578" spans="4:4" x14ac:dyDescent="0.45">
      <c r="D6578" s="47"/>
    </row>
    <row r="6579" spans="4:4" x14ac:dyDescent="0.45">
      <c r="D6579" s="47"/>
    </row>
    <row r="6580" spans="4:4" x14ac:dyDescent="0.45">
      <c r="D6580" s="47"/>
    </row>
    <row r="6581" spans="4:4" x14ac:dyDescent="0.45">
      <c r="D6581" s="47"/>
    </row>
    <row r="6582" spans="4:4" x14ac:dyDescent="0.45">
      <c r="D6582" s="47"/>
    </row>
    <row r="6583" spans="4:4" x14ac:dyDescent="0.45">
      <c r="D6583" s="47"/>
    </row>
    <row r="6584" spans="4:4" x14ac:dyDescent="0.45">
      <c r="D6584" s="47"/>
    </row>
    <row r="6585" spans="4:4" x14ac:dyDescent="0.45">
      <c r="D6585" s="47"/>
    </row>
    <row r="6586" spans="4:4" x14ac:dyDescent="0.45">
      <c r="D6586" s="47"/>
    </row>
    <row r="6587" spans="4:4" x14ac:dyDescent="0.45">
      <c r="D6587" s="47"/>
    </row>
    <row r="6588" spans="4:4" x14ac:dyDescent="0.45">
      <c r="D6588" s="47"/>
    </row>
    <row r="6589" spans="4:4" x14ac:dyDescent="0.45">
      <c r="D6589" s="47"/>
    </row>
    <row r="6590" spans="4:4" x14ac:dyDescent="0.45">
      <c r="D6590" s="47"/>
    </row>
    <row r="6591" spans="4:4" x14ac:dyDescent="0.45">
      <c r="D6591" s="47"/>
    </row>
    <row r="6592" spans="4:4" x14ac:dyDescent="0.45">
      <c r="D6592" s="47"/>
    </row>
    <row r="6593" spans="4:4" x14ac:dyDescent="0.45">
      <c r="D6593" s="47"/>
    </row>
    <row r="6594" spans="4:4" x14ac:dyDescent="0.45">
      <c r="D6594" s="47"/>
    </row>
    <row r="6595" spans="4:4" x14ac:dyDescent="0.45">
      <c r="D6595" s="47"/>
    </row>
    <row r="6596" spans="4:4" x14ac:dyDescent="0.45">
      <c r="D6596" s="47"/>
    </row>
    <row r="6597" spans="4:4" x14ac:dyDescent="0.45">
      <c r="D6597" s="47"/>
    </row>
    <row r="6598" spans="4:4" x14ac:dyDescent="0.45">
      <c r="D6598" s="47"/>
    </row>
    <row r="6599" spans="4:4" x14ac:dyDescent="0.45">
      <c r="D6599" s="47"/>
    </row>
    <row r="6600" spans="4:4" x14ac:dyDescent="0.45">
      <c r="D6600" s="47"/>
    </row>
    <row r="6601" spans="4:4" x14ac:dyDescent="0.45">
      <c r="D6601" s="47"/>
    </row>
    <row r="6602" spans="4:4" x14ac:dyDescent="0.45">
      <c r="D6602" s="47"/>
    </row>
    <row r="6603" spans="4:4" x14ac:dyDescent="0.45">
      <c r="D6603" s="47"/>
    </row>
    <row r="6604" spans="4:4" x14ac:dyDescent="0.45">
      <c r="D6604" s="47"/>
    </row>
    <row r="6605" spans="4:4" x14ac:dyDescent="0.45">
      <c r="D6605" s="47"/>
    </row>
    <row r="6606" spans="4:4" x14ac:dyDescent="0.45">
      <c r="D6606" s="47"/>
    </row>
    <row r="6607" spans="4:4" x14ac:dyDescent="0.45">
      <c r="D6607" s="47"/>
    </row>
    <row r="6608" spans="4:4" x14ac:dyDescent="0.45">
      <c r="D6608" s="47"/>
    </row>
    <row r="6609" spans="4:4" x14ac:dyDescent="0.45">
      <c r="D6609" s="47"/>
    </row>
    <row r="6610" spans="4:4" x14ac:dyDescent="0.45">
      <c r="D6610" s="47"/>
    </row>
    <row r="6611" spans="4:4" x14ac:dyDescent="0.45">
      <c r="D6611" s="47"/>
    </row>
    <row r="6612" spans="4:4" x14ac:dyDescent="0.45">
      <c r="D6612" s="47"/>
    </row>
    <row r="6613" spans="4:4" x14ac:dyDescent="0.45">
      <c r="D6613" s="47"/>
    </row>
    <row r="6614" spans="4:4" x14ac:dyDescent="0.45">
      <c r="D6614" s="47"/>
    </row>
    <row r="6615" spans="4:4" x14ac:dyDescent="0.45">
      <c r="D6615" s="47"/>
    </row>
    <row r="6616" spans="4:4" x14ac:dyDescent="0.45">
      <c r="D6616" s="47"/>
    </row>
    <row r="6617" spans="4:4" x14ac:dyDescent="0.45">
      <c r="D6617" s="47"/>
    </row>
    <row r="6618" spans="4:4" x14ac:dyDescent="0.45">
      <c r="D6618" s="47"/>
    </row>
    <row r="6619" spans="4:4" x14ac:dyDescent="0.45">
      <c r="D6619" s="47"/>
    </row>
    <row r="6620" spans="4:4" x14ac:dyDescent="0.45">
      <c r="D6620" s="47"/>
    </row>
    <row r="6621" spans="4:4" x14ac:dyDescent="0.45">
      <c r="D6621" s="47"/>
    </row>
    <row r="6622" spans="4:4" x14ac:dyDescent="0.45">
      <c r="D6622" s="47"/>
    </row>
    <row r="6623" spans="4:4" x14ac:dyDescent="0.45">
      <c r="D6623" s="47"/>
    </row>
    <row r="6624" spans="4:4" x14ac:dyDescent="0.45">
      <c r="D6624" s="47"/>
    </row>
    <row r="6625" spans="4:4" x14ac:dyDescent="0.45">
      <c r="D6625" s="47"/>
    </row>
    <row r="6626" spans="4:4" x14ac:dyDescent="0.45">
      <c r="D6626" s="47"/>
    </row>
    <row r="6627" spans="4:4" x14ac:dyDescent="0.45">
      <c r="D6627" s="47"/>
    </row>
    <row r="6628" spans="4:4" x14ac:dyDescent="0.45">
      <c r="D6628" s="47"/>
    </row>
    <row r="6629" spans="4:4" x14ac:dyDescent="0.45">
      <c r="D6629" s="47"/>
    </row>
    <row r="6630" spans="4:4" x14ac:dyDescent="0.45">
      <c r="D6630" s="47"/>
    </row>
    <row r="6631" spans="4:4" x14ac:dyDescent="0.45">
      <c r="D6631" s="47"/>
    </row>
    <row r="6632" spans="4:4" x14ac:dyDescent="0.45">
      <c r="D6632" s="47"/>
    </row>
    <row r="6633" spans="4:4" x14ac:dyDescent="0.45">
      <c r="D6633" s="47"/>
    </row>
    <row r="6634" spans="4:4" x14ac:dyDescent="0.45">
      <c r="D6634" s="47"/>
    </row>
    <row r="6635" spans="4:4" x14ac:dyDescent="0.45">
      <c r="D6635" s="47"/>
    </row>
    <row r="6636" spans="4:4" x14ac:dyDescent="0.45">
      <c r="D6636" s="47"/>
    </row>
    <row r="6637" spans="4:4" x14ac:dyDescent="0.45">
      <c r="D6637" s="47"/>
    </row>
    <row r="6638" spans="4:4" x14ac:dyDescent="0.45">
      <c r="D6638" s="47"/>
    </row>
    <row r="6639" spans="4:4" x14ac:dyDescent="0.45">
      <c r="D6639" s="47"/>
    </row>
    <row r="6640" spans="4:4" x14ac:dyDescent="0.45">
      <c r="D6640" s="47"/>
    </row>
    <row r="6641" spans="4:4" x14ac:dyDescent="0.45">
      <c r="D6641" s="47"/>
    </row>
    <row r="6642" spans="4:4" x14ac:dyDescent="0.45">
      <c r="D6642" s="47"/>
    </row>
    <row r="6643" spans="4:4" x14ac:dyDescent="0.45">
      <c r="D6643" s="47"/>
    </row>
    <row r="6644" spans="4:4" x14ac:dyDescent="0.45">
      <c r="D6644" s="47"/>
    </row>
    <row r="6645" spans="4:4" x14ac:dyDescent="0.45">
      <c r="D6645" s="47"/>
    </row>
    <row r="6646" spans="4:4" x14ac:dyDescent="0.45">
      <c r="D6646" s="47"/>
    </row>
    <row r="6647" spans="4:4" x14ac:dyDescent="0.45">
      <c r="D6647" s="47"/>
    </row>
    <row r="6648" spans="4:4" x14ac:dyDescent="0.45">
      <c r="D6648" s="47"/>
    </row>
    <row r="6649" spans="4:4" x14ac:dyDescent="0.45">
      <c r="D6649" s="47"/>
    </row>
    <row r="6650" spans="4:4" x14ac:dyDescent="0.45">
      <c r="D6650" s="47"/>
    </row>
    <row r="6651" spans="4:4" x14ac:dyDescent="0.45">
      <c r="D6651" s="47"/>
    </row>
    <row r="6652" spans="4:4" x14ac:dyDescent="0.45">
      <c r="D6652" s="47"/>
    </row>
    <row r="6653" spans="4:4" x14ac:dyDescent="0.45">
      <c r="D6653" s="47"/>
    </row>
    <row r="6654" spans="4:4" x14ac:dyDescent="0.45">
      <c r="D6654" s="47"/>
    </row>
    <row r="6655" spans="4:4" x14ac:dyDescent="0.45">
      <c r="D6655" s="47"/>
    </row>
    <row r="6656" spans="4:4" x14ac:dyDescent="0.45">
      <c r="D6656" s="47"/>
    </row>
    <row r="6657" spans="4:4" x14ac:dyDescent="0.45">
      <c r="D6657" s="47"/>
    </row>
    <row r="6658" spans="4:4" x14ac:dyDescent="0.45">
      <c r="D6658" s="47"/>
    </row>
    <row r="6659" spans="4:4" x14ac:dyDescent="0.45">
      <c r="D6659" s="47"/>
    </row>
    <row r="6660" spans="4:4" x14ac:dyDescent="0.45">
      <c r="D6660" s="47"/>
    </row>
    <row r="6661" spans="4:4" x14ac:dyDescent="0.45">
      <c r="D6661" s="47"/>
    </row>
    <row r="6662" spans="4:4" x14ac:dyDescent="0.45">
      <c r="D6662" s="47"/>
    </row>
    <row r="6663" spans="4:4" x14ac:dyDescent="0.45">
      <c r="D6663" s="47"/>
    </row>
    <row r="6664" spans="4:4" x14ac:dyDescent="0.45">
      <c r="D6664" s="47"/>
    </row>
    <row r="6665" spans="4:4" x14ac:dyDescent="0.45">
      <c r="D6665" s="47"/>
    </row>
    <row r="6666" spans="4:4" x14ac:dyDescent="0.45">
      <c r="D6666" s="47"/>
    </row>
    <row r="6667" spans="4:4" x14ac:dyDescent="0.45">
      <c r="D6667" s="47"/>
    </row>
    <row r="6668" spans="4:4" x14ac:dyDescent="0.45">
      <c r="D6668" s="47"/>
    </row>
    <row r="6669" spans="4:4" x14ac:dyDescent="0.45">
      <c r="D6669" s="47"/>
    </row>
    <row r="6670" spans="4:4" x14ac:dyDescent="0.45">
      <c r="D6670" s="47"/>
    </row>
    <row r="6671" spans="4:4" x14ac:dyDescent="0.45">
      <c r="D6671" s="47"/>
    </row>
    <row r="6672" spans="4:4" x14ac:dyDescent="0.45">
      <c r="D6672" s="47"/>
    </row>
    <row r="6673" spans="4:4" x14ac:dyDescent="0.45">
      <c r="D6673" s="47"/>
    </row>
    <row r="6674" spans="4:4" x14ac:dyDescent="0.45">
      <c r="D6674" s="47"/>
    </row>
    <row r="6675" spans="4:4" x14ac:dyDescent="0.45">
      <c r="D6675" s="47"/>
    </row>
    <row r="6676" spans="4:4" x14ac:dyDescent="0.45">
      <c r="D6676" s="47"/>
    </row>
    <row r="6677" spans="4:4" x14ac:dyDescent="0.45">
      <c r="D6677" s="47"/>
    </row>
    <row r="6678" spans="4:4" x14ac:dyDescent="0.45">
      <c r="D6678" s="47"/>
    </row>
    <row r="6679" spans="4:4" x14ac:dyDescent="0.45">
      <c r="D6679" s="47"/>
    </row>
    <row r="6680" spans="4:4" x14ac:dyDescent="0.45">
      <c r="D6680" s="47"/>
    </row>
    <row r="6681" spans="4:4" x14ac:dyDescent="0.45">
      <c r="D6681" s="47"/>
    </row>
    <row r="6682" spans="4:4" x14ac:dyDescent="0.45">
      <c r="D6682" s="47"/>
    </row>
    <row r="6683" spans="4:4" x14ac:dyDescent="0.45">
      <c r="D6683" s="47"/>
    </row>
    <row r="6684" spans="4:4" x14ac:dyDescent="0.45">
      <c r="D6684" s="47"/>
    </row>
    <row r="6685" spans="4:4" x14ac:dyDescent="0.45">
      <c r="D6685" s="47"/>
    </row>
    <row r="6686" spans="4:4" x14ac:dyDescent="0.45">
      <c r="D6686" s="47"/>
    </row>
    <row r="6687" spans="4:4" x14ac:dyDescent="0.45">
      <c r="D6687" s="47"/>
    </row>
    <row r="6688" spans="4:4" x14ac:dyDescent="0.45">
      <c r="D6688" s="47"/>
    </row>
    <row r="6689" spans="4:4" x14ac:dyDescent="0.45">
      <c r="D6689" s="47"/>
    </row>
    <row r="6690" spans="4:4" x14ac:dyDescent="0.45">
      <c r="D6690" s="47"/>
    </row>
    <row r="6691" spans="4:4" x14ac:dyDescent="0.45">
      <c r="D6691" s="47"/>
    </row>
    <row r="6692" spans="4:4" x14ac:dyDescent="0.45">
      <c r="D6692" s="47"/>
    </row>
    <row r="6693" spans="4:4" x14ac:dyDescent="0.45">
      <c r="D6693" s="47"/>
    </row>
    <row r="6694" spans="4:4" x14ac:dyDescent="0.45">
      <c r="D6694" s="47"/>
    </row>
    <row r="6695" spans="4:4" x14ac:dyDescent="0.45">
      <c r="D6695" s="47"/>
    </row>
    <row r="6696" spans="4:4" x14ac:dyDescent="0.45">
      <c r="D6696" s="47"/>
    </row>
    <row r="6697" spans="4:4" x14ac:dyDescent="0.45">
      <c r="D6697" s="47"/>
    </row>
    <row r="6698" spans="4:4" x14ac:dyDescent="0.45">
      <c r="D6698" s="47"/>
    </row>
    <row r="6699" spans="4:4" x14ac:dyDescent="0.45">
      <c r="D6699" s="47"/>
    </row>
    <row r="6700" spans="4:4" x14ac:dyDescent="0.45">
      <c r="D6700" s="47"/>
    </row>
    <row r="6701" spans="4:4" x14ac:dyDescent="0.45">
      <c r="D6701" s="47"/>
    </row>
    <row r="6702" spans="4:4" x14ac:dyDescent="0.45">
      <c r="D6702" s="47"/>
    </row>
    <row r="6703" spans="4:4" x14ac:dyDescent="0.45">
      <c r="D6703" s="47"/>
    </row>
    <row r="6704" spans="4:4" x14ac:dyDescent="0.45">
      <c r="D6704" s="47"/>
    </row>
    <row r="6705" spans="4:4" x14ac:dyDescent="0.45">
      <c r="D6705" s="47"/>
    </row>
    <row r="6706" spans="4:4" x14ac:dyDescent="0.45">
      <c r="D6706" s="47"/>
    </row>
    <row r="6707" spans="4:4" x14ac:dyDescent="0.45">
      <c r="D6707" s="47"/>
    </row>
    <row r="6708" spans="4:4" x14ac:dyDescent="0.45">
      <c r="D6708" s="47"/>
    </row>
    <row r="6709" spans="4:4" x14ac:dyDescent="0.45">
      <c r="D6709" s="47"/>
    </row>
    <row r="6710" spans="4:4" x14ac:dyDescent="0.45">
      <c r="D6710" s="47"/>
    </row>
    <row r="6711" spans="4:4" x14ac:dyDescent="0.45">
      <c r="D6711" s="47"/>
    </row>
    <row r="6712" spans="4:4" x14ac:dyDescent="0.45">
      <c r="D6712" s="47"/>
    </row>
    <row r="6713" spans="4:4" x14ac:dyDescent="0.45">
      <c r="D6713" s="47"/>
    </row>
    <row r="6714" spans="4:4" x14ac:dyDescent="0.45">
      <c r="D6714" s="47"/>
    </row>
    <row r="6715" spans="4:4" x14ac:dyDescent="0.45">
      <c r="D6715" s="47"/>
    </row>
    <row r="6716" spans="4:4" x14ac:dyDescent="0.45">
      <c r="D6716" s="47"/>
    </row>
    <row r="6717" spans="4:4" x14ac:dyDescent="0.45">
      <c r="D6717" s="47"/>
    </row>
    <row r="6718" spans="4:4" x14ac:dyDescent="0.45">
      <c r="D6718" s="47"/>
    </row>
    <row r="6719" spans="4:4" x14ac:dyDescent="0.45">
      <c r="D6719" s="47"/>
    </row>
    <row r="6720" spans="4:4" x14ac:dyDescent="0.45">
      <c r="D6720" s="47"/>
    </row>
    <row r="6721" spans="4:4" x14ac:dyDescent="0.45">
      <c r="D6721" s="47"/>
    </row>
    <row r="6722" spans="4:4" x14ac:dyDescent="0.45">
      <c r="D6722" s="47"/>
    </row>
    <row r="6723" spans="4:4" x14ac:dyDescent="0.45">
      <c r="D6723" s="47"/>
    </row>
    <row r="6724" spans="4:4" x14ac:dyDescent="0.45">
      <c r="D6724" s="47"/>
    </row>
    <row r="6725" spans="4:4" x14ac:dyDescent="0.45">
      <c r="D6725" s="47"/>
    </row>
    <row r="6726" spans="4:4" x14ac:dyDescent="0.45">
      <c r="D6726" s="47"/>
    </row>
    <row r="6727" spans="4:4" x14ac:dyDescent="0.45">
      <c r="D6727" s="47"/>
    </row>
    <row r="6728" spans="4:4" x14ac:dyDescent="0.45">
      <c r="D6728" s="47"/>
    </row>
    <row r="6729" spans="4:4" x14ac:dyDescent="0.45">
      <c r="D6729" s="47"/>
    </row>
    <row r="6730" spans="4:4" x14ac:dyDescent="0.45">
      <c r="D6730" s="47"/>
    </row>
    <row r="6731" spans="4:4" x14ac:dyDescent="0.45">
      <c r="D6731" s="47"/>
    </row>
    <row r="6732" spans="4:4" x14ac:dyDescent="0.45">
      <c r="D6732" s="47"/>
    </row>
    <row r="6733" spans="4:4" x14ac:dyDescent="0.45">
      <c r="D6733" s="47"/>
    </row>
    <row r="6734" spans="4:4" x14ac:dyDescent="0.45">
      <c r="D6734" s="47"/>
    </row>
    <row r="6735" spans="4:4" x14ac:dyDescent="0.45">
      <c r="D6735" s="47"/>
    </row>
    <row r="6736" spans="4:4" x14ac:dyDescent="0.45">
      <c r="D6736" s="47"/>
    </row>
    <row r="6737" spans="4:4" x14ac:dyDescent="0.45">
      <c r="D6737" s="47"/>
    </row>
    <row r="6738" spans="4:4" x14ac:dyDescent="0.45">
      <c r="D6738" s="47"/>
    </row>
    <row r="6739" spans="4:4" x14ac:dyDescent="0.45">
      <c r="D6739" s="47"/>
    </row>
    <row r="6740" spans="4:4" x14ac:dyDescent="0.45">
      <c r="D6740" s="47"/>
    </row>
    <row r="6741" spans="4:4" x14ac:dyDescent="0.45">
      <c r="D6741" s="47"/>
    </row>
    <row r="6742" spans="4:4" x14ac:dyDescent="0.45">
      <c r="D6742" s="47"/>
    </row>
    <row r="6743" spans="4:4" x14ac:dyDescent="0.45">
      <c r="D6743" s="47"/>
    </row>
    <row r="6744" spans="4:4" x14ac:dyDescent="0.45">
      <c r="D6744" s="47"/>
    </row>
    <row r="6745" spans="4:4" x14ac:dyDescent="0.45">
      <c r="D6745" s="47"/>
    </row>
    <row r="6746" spans="4:4" x14ac:dyDescent="0.45">
      <c r="D6746" s="47"/>
    </row>
    <row r="6747" spans="4:4" x14ac:dyDescent="0.45">
      <c r="D6747" s="47"/>
    </row>
    <row r="6748" spans="4:4" x14ac:dyDescent="0.45">
      <c r="D6748" s="47"/>
    </row>
    <row r="6749" spans="4:4" x14ac:dyDescent="0.45">
      <c r="D6749" s="47"/>
    </row>
    <row r="6750" spans="4:4" x14ac:dyDescent="0.45">
      <c r="D6750" s="47"/>
    </row>
    <row r="6751" spans="4:4" x14ac:dyDescent="0.45">
      <c r="D6751" s="47"/>
    </row>
    <row r="6752" spans="4:4" x14ac:dyDescent="0.45">
      <c r="D6752" s="47"/>
    </row>
    <row r="6753" spans="4:4" x14ac:dyDescent="0.45">
      <c r="D6753" s="47"/>
    </row>
    <row r="6754" spans="4:4" x14ac:dyDescent="0.45">
      <c r="D6754" s="47"/>
    </row>
    <row r="6755" spans="4:4" x14ac:dyDescent="0.45">
      <c r="D6755" s="47"/>
    </row>
    <row r="6756" spans="4:4" x14ac:dyDescent="0.45">
      <c r="D6756" s="47"/>
    </row>
    <row r="6757" spans="4:4" x14ac:dyDescent="0.45">
      <c r="D6757" s="47"/>
    </row>
    <row r="6758" spans="4:4" x14ac:dyDescent="0.45">
      <c r="D6758" s="47"/>
    </row>
    <row r="6759" spans="4:4" x14ac:dyDescent="0.45">
      <c r="D6759" s="47"/>
    </row>
    <row r="6760" spans="4:4" x14ac:dyDescent="0.45">
      <c r="D6760" s="47"/>
    </row>
    <row r="6761" spans="4:4" x14ac:dyDescent="0.45">
      <c r="D6761" s="47"/>
    </row>
    <row r="6762" spans="4:4" x14ac:dyDescent="0.45">
      <c r="D6762" s="47"/>
    </row>
    <row r="6763" spans="4:4" x14ac:dyDescent="0.45">
      <c r="D6763" s="47"/>
    </row>
    <row r="6764" spans="4:4" x14ac:dyDescent="0.45">
      <c r="D6764" s="47"/>
    </row>
    <row r="6765" spans="4:4" x14ac:dyDescent="0.45">
      <c r="D6765" s="47"/>
    </row>
    <row r="6766" spans="4:4" x14ac:dyDescent="0.45">
      <c r="D6766" s="47"/>
    </row>
    <row r="6767" spans="4:4" x14ac:dyDescent="0.45">
      <c r="D6767" s="47"/>
    </row>
    <row r="6768" spans="4:4" x14ac:dyDescent="0.45">
      <c r="D6768" s="47"/>
    </row>
    <row r="6769" spans="4:4" x14ac:dyDescent="0.45">
      <c r="D6769" s="47"/>
    </row>
    <row r="6770" spans="4:4" x14ac:dyDescent="0.45">
      <c r="D6770" s="47"/>
    </row>
    <row r="6771" spans="4:4" x14ac:dyDescent="0.45">
      <c r="D6771" s="47"/>
    </row>
    <row r="6772" spans="4:4" x14ac:dyDescent="0.45">
      <c r="D6772" s="47"/>
    </row>
    <row r="6773" spans="4:4" x14ac:dyDescent="0.45">
      <c r="D6773" s="47"/>
    </row>
    <row r="6774" spans="4:4" x14ac:dyDescent="0.45">
      <c r="D6774" s="47"/>
    </row>
    <row r="6775" spans="4:4" x14ac:dyDescent="0.45">
      <c r="D6775" s="47"/>
    </row>
    <row r="6776" spans="4:4" x14ac:dyDescent="0.45">
      <c r="D6776" s="47"/>
    </row>
    <row r="6777" spans="4:4" x14ac:dyDescent="0.45">
      <c r="D6777" s="47"/>
    </row>
    <row r="6778" spans="4:4" x14ac:dyDescent="0.45">
      <c r="D6778" s="47"/>
    </row>
    <row r="6779" spans="4:4" x14ac:dyDescent="0.45">
      <c r="D6779" s="47"/>
    </row>
    <row r="6780" spans="4:4" x14ac:dyDescent="0.45">
      <c r="D6780" s="47"/>
    </row>
    <row r="6781" spans="4:4" x14ac:dyDescent="0.45">
      <c r="D6781" s="47"/>
    </row>
    <row r="6782" spans="4:4" x14ac:dyDescent="0.45">
      <c r="D6782" s="47"/>
    </row>
    <row r="6783" spans="4:4" x14ac:dyDescent="0.45">
      <c r="D6783" s="47"/>
    </row>
    <row r="6784" spans="4:4" x14ac:dyDescent="0.45">
      <c r="D6784" s="47"/>
    </row>
    <row r="6785" spans="4:4" x14ac:dyDescent="0.45">
      <c r="D6785" s="47"/>
    </row>
    <row r="6786" spans="4:4" x14ac:dyDescent="0.45">
      <c r="D6786" s="47"/>
    </row>
    <row r="6787" spans="4:4" x14ac:dyDescent="0.45">
      <c r="D6787" s="47"/>
    </row>
    <row r="6788" spans="4:4" x14ac:dyDescent="0.45">
      <c r="D6788" s="47"/>
    </row>
    <row r="6789" spans="4:4" x14ac:dyDescent="0.45">
      <c r="D6789" s="47"/>
    </row>
    <row r="6790" spans="4:4" x14ac:dyDescent="0.45">
      <c r="D6790" s="47"/>
    </row>
    <row r="6791" spans="4:4" x14ac:dyDescent="0.45">
      <c r="D6791" s="47"/>
    </row>
    <row r="6792" spans="4:4" x14ac:dyDescent="0.45">
      <c r="D6792" s="47"/>
    </row>
    <row r="6793" spans="4:4" x14ac:dyDescent="0.45">
      <c r="D6793" s="47"/>
    </row>
    <row r="6794" spans="4:4" x14ac:dyDescent="0.45">
      <c r="D6794" s="47"/>
    </row>
    <row r="6795" spans="4:4" x14ac:dyDescent="0.45">
      <c r="D6795" s="47"/>
    </row>
    <row r="6796" spans="4:4" x14ac:dyDescent="0.45">
      <c r="D6796" s="47"/>
    </row>
    <row r="6797" spans="4:4" x14ac:dyDescent="0.45">
      <c r="D6797" s="47"/>
    </row>
    <row r="6798" spans="4:4" x14ac:dyDescent="0.45">
      <c r="D6798" s="47"/>
    </row>
    <row r="6799" spans="4:4" x14ac:dyDescent="0.45">
      <c r="D6799" s="47"/>
    </row>
    <row r="6800" spans="4:4" x14ac:dyDescent="0.45">
      <c r="D6800" s="47"/>
    </row>
    <row r="6801" spans="4:4" x14ac:dyDescent="0.45">
      <c r="D6801" s="47"/>
    </row>
    <row r="6802" spans="4:4" x14ac:dyDescent="0.45">
      <c r="D6802" s="47"/>
    </row>
    <row r="6803" spans="4:4" x14ac:dyDescent="0.45">
      <c r="D6803" s="47"/>
    </row>
    <row r="6804" spans="4:4" x14ac:dyDescent="0.45">
      <c r="D6804" s="47"/>
    </row>
    <row r="6805" spans="4:4" x14ac:dyDescent="0.45">
      <c r="D6805" s="47"/>
    </row>
    <row r="6806" spans="4:4" x14ac:dyDescent="0.45">
      <c r="D6806" s="47"/>
    </row>
    <row r="6807" spans="4:4" x14ac:dyDescent="0.45">
      <c r="D6807" s="47"/>
    </row>
    <row r="6808" spans="4:4" x14ac:dyDescent="0.45">
      <c r="D6808" s="47"/>
    </row>
    <row r="6809" spans="4:4" x14ac:dyDescent="0.45">
      <c r="D6809" s="47"/>
    </row>
    <row r="6810" spans="4:4" x14ac:dyDescent="0.45">
      <c r="D6810" s="47"/>
    </row>
    <row r="6811" spans="4:4" x14ac:dyDescent="0.45">
      <c r="D6811" s="47"/>
    </row>
    <row r="6812" spans="4:4" x14ac:dyDescent="0.45">
      <c r="D6812" s="47"/>
    </row>
    <row r="6813" spans="4:4" x14ac:dyDescent="0.45">
      <c r="D6813" s="47"/>
    </row>
    <row r="6814" spans="4:4" x14ac:dyDescent="0.45">
      <c r="D6814" s="47"/>
    </row>
    <row r="6815" spans="4:4" x14ac:dyDescent="0.45">
      <c r="D6815" s="47"/>
    </row>
    <row r="6816" spans="4:4" x14ac:dyDescent="0.45">
      <c r="D6816" s="47"/>
    </row>
    <row r="6817" spans="4:4" x14ac:dyDescent="0.45">
      <c r="D6817" s="47"/>
    </row>
    <row r="6818" spans="4:4" x14ac:dyDescent="0.45">
      <c r="D6818" s="47"/>
    </row>
    <row r="6819" spans="4:4" x14ac:dyDescent="0.45">
      <c r="D6819" s="47"/>
    </row>
    <row r="6820" spans="4:4" x14ac:dyDescent="0.45">
      <c r="D6820" s="47"/>
    </row>
    <row r="6821" spans="4:4" x14ac:dyDescent="0.45">
      <c r="D6821" s="47"/>
    </row>
    <row r="6822" spans="4:4" x14ac:dyDescent="0.45">
      <c r="D6822" s="47"/>
    </row>
    <row r="6823" spans="4:4" x14ac:dyDescent="0.45">
      <c r="D6823" s="47"/>
    </row>
    <row r="6824" spans="4:4" x14ac:dyDescent="0.45">
      <c r="D6824" s="47"/>
    </row>
    <row r="6825" spans="4:4" x14ac:dyDescent="0.45">
      <c r="D6825" s="47"/>
    </row>
    <row r="6826" spans="4:4" x14ac:dyDescent="0.45">
      <c r="D6826" s="47"/>
    </row>
    <row r="6827" spans="4:4" x14ac:dyDescent="0.45">
      <c r="D6827" s="47"/>
    </row>
    <row r="6828" spans="4:4" x14ac:dyDescent="0.45">
      <c r="D6828" s="47"/>
    </row>
    <row r="6829" spans="4:4" x14ac:dyDescent="0.45">
      <c r="D6829" s="47"/>
    </row>
    <row r="6830" spans="4:4" x14ac:dyDescent="0.45">
      <c r="D6830" s="47"/>
    </row>
    <row r="6831" spans="4:4" x14ac:dyDescent="0.45">
      <c r="D6831" s="47"/>
    </row>
    <row r="6832" spans="4:4" x14ac:dyDescent="0.45">
      <c r="D6832" s="47"/>
    </row>
    <row r="6833" spans="4:4" x14ac:dyDescent="0.45">
      <c r="D6833" s="47"/>
    </row>
    <row r="6834" spans="4:4" x14ac:dyDescent="0.45">
      <c r="D6834" s="47"/>
    </row>
    <row r="6835" spans="4:4" x14ac:dyDescent="0.45">
      <c r="D6835" s="47"/>
    </row>
    <row r="6836" spans="4:4" x14ac:dyDescent="0.45">
      <c r="D6836" s="47"/>
    </row>
    <row r="6837" spans="4:4" x14ac:dyDescent="0.45">
      <c r="D6837" s="47"/>
    </row>
    <row r="6838" spans="4:4" x14ac:dyDescent="0.45">
      <c r="D6838" s="47"/>
    </row>
    <row r="6839" spans="4:4" x14ac:dyDescent="0.45">
      <c r="D6839" s="47"/>
    </row>
    <row r="6840" spans="4:4" x14ac:dyDescent="0.45">
      <c r="D6840" s="47"/>
    </row>
    <row r="6841" spans="4:4" x14ac:dyDescent="0.45">
      <c r="D6841" s="47"/>
    </row>
    <row r="6842" spans="4:4" x14ac:dyDescent="0.45">
      <c r="D6842" s="47"/>
    </row>
    <row r="6843" spans="4:4" x14ac:dyDescent="0.45">
      <c r="D6843" s="47"/>
    </row>
    <row r="6844" spans="4:4" x14ac:dyDescent="0.45">
      <c r="D6844" s="47"/>
    </row>
    <row r="6845" spans="4:4" x14ac:dyDescent="0.45">
      <c r="D6845" s="47"/>
    </row>
    <row r="6846" spans="4:4" x14ac:dyDescent="0.45">
      <c r="D6846" s="47"/>
    </row>
    <row r="6847" spans="4:4" x14ac:dyDescent="0.45">
      <c r="D6847" s="47"/>
    </row>
    <row r="6848" spans="4:4" x14ac:dyDescent="0.45">
      <c r="D6848" s="47"/>
    </row>
    <row r="6849" spans="4:4" x14ac:dyDescent="0.45">
      <c r="D6849" s="47"/>
    </row>
    <row r="6850" spans="4:4" x14ac:dyDescent="0.45">
      <c r="D6850" s="47"/>
    </row>
    <row r="6851" spans="4:4" x14ac:dyDescent="0.45">
      <c r="D6851" s="47"/>
    </row>
    <row r="6852" spans="4:4" x14ac:dyDescent="0.45">
      <c r="D6852" s="47"/>
    </row>
    <row r="6853" spans="4:4" x14ac:dyDescent="0.45">
      <c r="D6853" s="47"/>
    </row>
    <row r="6854" spans="4:4" x14ac:dyDescent="0.45">
      <c r="D6854" s="47"/>
    </row>
    <row r="6855" spans="4:4" x14ac:dyDescent="0.45">
      <c r="D6855" s="47"/>
    </row>
    <row r="6856" spans="4:4" x14ac:dyDescent="0.45">
      <c r="D6856" s="47"/>
    </row>
    <row r="6857" spans="4:4" x14ac:dyDescent="0.45">
      <c r="D6857" s="47"/>
    </row>
    <row r="6858" spans="4:4" x14ac:dyDescent="0.45">
      <c r="D6858" s="47"/>
    </row>
    <row r="6859" spans="4:4" x14ac:dyDescent="0.45">
      <c r="D6859" s="47"/>
    </row>
    <row r="6860" spans="4:4" x14ac:dyDescent="0.45">
      <c r="D6860" s="47"/>
    </row>
    <row r="6861" spans="4:4" x14ac:dyDescent="0.45">
      <c r="D6861" s="47"/>
    </row>
    <row r="6862" spans="4:4" x14ac:dyDescent="0.45">
      <c r="D6862" s="47"/>
    </row>
    <row r="6863" spans="4:4" x14ac:dyDescent="0.45">
      <c r="D6863" s="47"/>
    </row>
    <row r="6864" spans="4:4" x14ac:dyDescent="0.45">
      <c r="D6864" s="47"/>
    </row>
    <row r="6865" spans="4:4" x14ac:dyDescent="0.45">
      <c r="D6865" s="47"/>
    </row>
    <row r="6866" spans="4:4" x14ac:dyDescent="0.45">
      <c r="D6866" s="47"/>
    </row>
    <row r="6867" spans="4:4" x14ac:dyDescent="0.45">
      <c r="D6867" s="47"/>
    </row>
    <row r="6868" spans="4:4" x14ac:dyDescent="0.45">
      <c r="D6868" s="47"/>
    </row>
    <row r="6869" spans="4:4" x14ac:dyDescent="0.45">
      <c r="D6869" s="47"/>
    </row>
    <row r="6870" spans="4:4" x14ac:dyDescent="0.45">
      <c r="D6870" s="47"/>
    </row>
    <row r="6871" spans="4:4" x14ac:dyDescent="0.45">
      <c r="D6871" s="47"/>
    </row>
    <row r="6872" spans="4:4" x14ac:dyDescent="0.45">
      <c r="D6872" s="47"/>
    </row>
    <row r="6873" spans="4:4" x14ac:dyDescent="0.45">
      <c r="D6873" s="47"/>
    </row>
    <row r="6874" spans="4:4" x14ac:dyDescent="0.45">
      <c r="D6874" s="47"/>
    </row>
    <row r="6875" spans="4:4" x14ac:dyDescent="0.45">
      <c r="D6875" s="47"/>
    </row>
    <row r="6876" spans="4:4" x14ac:dyDescent="0.45">
      <c r="D6876" s="47"/>
    </row>
    <row r="6877" spans="4:4" x14ac:dyDescent="0.45">
      <c r="D6877" s="47"/>
    </row>
    <row r="6878" spans="4:4" x14ac:dyDescent="0.45">
      <c r="D6878" s="47"/>
    </row>
    <row r="6879" spans="4:4" x14ac:dyDescent="0.45">
      <c r="D6879" s="47"/>
    </row>
    <row r="6880" spans="4:4" x14ac:dyDescent="0.45">
      <c r="D6880" s="47"/>
    </row>
    <row r="6881" spans="4:4" x14ac:dyDescent="0.45">
      <c r="D6881" s="47"/>
    </row>
    <row r="6882" spans="4:4" x14ac:dyDescent="0.45">
      <c r="D6882" s="47"/>
    </row>
    <row r="6883" spans="4:4" x14ac:dyDescent="0.45">
      <c r="D6883" s="47"/>
    </row>
    <row r="6884" spans="4:4" x14ac:dyDescent="0.45">
      <c r="D6884" s="47"/>
    </row>
    <row r="6885" spans="4:4" x14ac:dyDescent="0.45">
      <c r="D6885" s="47"/>
    </row>
    <row r="6886" spans="4:4" x14ac:dyDescent="0.45">
      <c r="D6886" s="47"/>
    </row>
    <row r="6887" spans="4:4" x14ac:dyDescent="0.45">
      <c r="D6887" s="47"/>
    </row>
    <row r="6888" spans="4:4" x14ac:dyDescent="0.45">
      <c r="D6888" s="47"/>
    </row>
    <row r="6889" spans="4:4" x14ac:dyDescent="0.45">
      <c r="D6889" s="47"/>
    </row>
    <row r="6890" spans="4:4" x14ac:dyDescent="0.45">
      <c r="D6890" s="47"/>
    </row>
    <row r="6891" spans="4:4" x14ac:dyDescent="0.45">
      <c r="D6891" s="47"/>
    </row>
    <row r="6892" spans="4:4" x14ac:dyDescent="0.45">
      <c r="D6892" s="47"/>
    </row>
    <row r="6893" spans="4:4" x14ac:dyDescent="0.45">
      <c r="D6893" s="47"/>
    </row>
    <row r="6894" spans="4:4" x14ac:dyDescent="0.45">
      <c r="D6894" s="47"/>
    </row>
    <row r="6895" spans="4:4" x14ac:dyDescent="0.45">
      <c r="D6895" s="47"/>
    </row>
    <row r="6896" spans="4:4" x14ac:dyDescent="0.45">
      <c r="D6896" s="47"/>
    </row>
    <row r="6897" spans="4:4" x14ac:dyDescent="0.45">
      <c r="D6897" s="47"/>
    </row>
    <row r="6898" spans="4:4" x14ac:dyDescent="0.45">
      <c r="D6898" s="47"/>
    </row>
    <row r="6899" spans="4:4" x14ac:dyDescent="0.45">
      <c r="D6899" s="47"/>
    </row>
    <row r="6900" spans="4:4" x14ac:dyDescent="0.45">
      <c r="D6900" s="47"/>
    </row>
    <row r="6901" spans="4:4" x14ac:dyDescent="0.45">
      <c r="D6901" s="47"/>
    </row>
    <row r="6902" spans="4:4" x14ac:dyDescent="0.45">
      <c r="D6902" s="47"/>
    </row>
    <row r="6903" spans="4:4" x14ac:dyDescent="0.45">
      <c r="D6903" s="47"/>
    </row>
    <row r="6904" spans="4:4" x14ac:dyDescent="0.45">
      <c r="D6904" s="47"/>
    </row>
    <row r="6905" spans="4:4" x14ac:dyDescent="0.45">
      <c r="D6905" s="47"/>
    </row>
    <row r="6906" spans="4:4" x14ac:dyDescent="0.45">
      <c r="D6906" s="47"/>
    </row>
    <row r="6907" spans="4:4" x14ac:dyDescent="0.45">
      <c r="D6907" s="47"/>
    </row>
    <row r="6908" spans="4:4" x14ac:dyDescent="0.45">
      <c r="D6908" s="47"/>
    </row>
    <row r="6909" spans="4:4" x14ac:dyDescent="0.45">
      <c r="D6909" s="47"/>
    </row>
    <row r="6910" spans="4:4" x14ac:dyDescent="0.45">
      <c r="D6910" s="47"/>
    </row>
    <row r="6911" spans="4:4" x14ac:dyDescent="0.45">
      <c r="D6911" s="47"/>
    </row>
    <row r="6912" spans="4:4" x14ac:dyDescent="0.45">
      <c r="D6912" s="47"/>
    </row>
    <row r="6913" spans="4:4" x14ac:dyDescent="0.45">
      <c r="D6913" s="47"/>
    </row>
    <row r="6914" spans="4:4" x14ac:dyDescent="0.45">
      <c r="D6914" s="47"/>
    </row>
    <row r="6915" spans="4:4" x14ac:dyDescent="0.45">
      <c r="D6915" s="47"/>
    </row>
    <row r="6916" spans="4:4" x14ac:dyDescent="0.45">
      <c r="D6916" s="47"/>
    </row>
    <row r="6917" spans="4:4" x14ac:dyDescent="0.45">
      <c r="D6917" s="47"/>
    </row>
    <row r="6918" spans="4:4" x14ac:dyDescent="0.45">
      <c r="D6918" s="47"/>
    </row>
    <row r="6919" spans="4:4" x14ac:dyDescent="0.45">
      <c r="D6919" s="47"/>
    </row>
    <row r="6920" spans="4:4" x14ac:dyDescent="0.45">
      <c r="D6920" s="47"/>
    </row>
    <row r="6921" spans="4:4" x14ac:dyDescent="0.45">
      <c r="D6921" s="47"/>
    </row>
    <row r="6922" spans="4:4" x14ac:dyDescent="0.45">
      <c r="D6922" s="47"/>
    </row>
    <row r="6923" spans="4:4" x14ac:dyDescent="0.45">
      <c r="D6923" s="47"/>
    </row>
    <row r="6924" spans="4:4" x14ac:dyDescent="0.45">
      <c r="D6924" s="47"/>
    </row>
    <row r="6925" spans="4:4" x14ac:dyDescent="0.45">
      <c r="D6925" s="47"/>
    </row>
    <row r="6926" spans="4:4" x14ac:dyDescent="0.45">
      <c r="D6926" s="47"/>
    </row>
    <row r="6927" spans="4:4" x14ac:dyDescent="0.45">
      <c r="D6927" s="47"/>
    </row>
    <row r="6928" spans="4:4" x14ac:dyDescent="0.45">
      <c r="D6928" s="47"/>
    </row>
    <row r="6929" spans="4:4" x14ac:dyDescent="0.45">
      <c r="D6929" s="47"/>
    </row>
    <row r="6930" spans="4:4" x14ac:dyDescent="0.45">
      <c r="D6930" s="47"/>
    </row>
    <row r="6931" spans="4:4" x14ac:dyDescent="0.45">
      <c r="D6931" s="47"/>
    </row>
    <row r="6932" spans="4:4" x14ac:dyDescent="0.45">
      <c r="D6932" s="47"/>
    </row>
    <row r="6933" spans="4:4" x14ac:dyDescent="0.45">
      <c r="D6933" s="47"/>
    </row>
    <row r="6934" spans="4:4" x14ac:dyDescent="0.45">
      <c r="D6934" s="47"/>
    </row>
    <row r="6935" spans="4:4" x14ac:dyDescent="0.45">
      <c r="D6935" s="47"/>
    </row>
    <row r="6936" spans="4:4" x14ac:dyDescent="0.45">
      <c r="D6936" s="47"/>
    </row>
    <row r="6937" spans="4:4" x14ac:dyDescent="0.45">
      <c r="D6937" s="47"/>
    </row>
    <row r="6938" spans="4:4" x14ac:dyDescent="0.45">
      <c r="D6938" s="47"/>
    </row>
    <row r="6939" spans="4:4" x14ac:dyDescent="0.45">
      <c r="D6939" s="47"/>
    </row>
    <row r="6940" spans="4:4" x14ac:dyDescent="0.45">
      <c r="D6940" s="47"/>
    </row>
    <row r="6941" spans="4:4" x14ac:dyDescent="0.45">
      <c r="D6941" s="47"/>
    </row>
    <row r="6942" spans="4:4" x14ac:dyDescent="0.45">
      <c r="D6942" s="47"/>
    </row>
    <row r="6943" spans="4:4" x14ac:dyDescent="0.45">
      <c r="D6943" s="47"/>
    </row>
    <row r="6944" spans="4:4" x14ac:dyDescent="0.45">
      <c r="D6944" s="47"/>
    </row>
    <row r="6945" spans="4:4" x14ac:dyDescent="0.45">
      <c r="D6945" s="47"/>
    </row>
    <row r="6946" spans="4:4" x14ac:dyDescent="0.45">
      <c r="D6946" s="47"/>
    </row>
    <row r="6947" spans="4:4" x14ac:dyDescent="0.45">
      <c r="D6947" s="47"/>
    </row>
    <row r="6948" spans="4:4" x14ac:dyDescent="0.45">
      <c r="D6948" s="47"/>
    </row>
    <row r="6949" spans="4:4" x14ac:dyDescent="0.45">
      <c r="D6949" s="47"/>
    </row>
    <row r="6950" spans="4:4" x14ac:dyDescent="0.45">
      <c r="D6950" s="47"/>
    </row>
    <row r="6951" spans="4:4" x14ac:dyDescent="0.45">
      <c r="D6951" s="47"/>
    </row>
    <row r="6952" spans="4:4" x14ac:dyDescent="0.45">
      <c r="D6952" s="47"/>
    </row>
    <row r="6953" spans="4:4" x14ac:dyDescent="0.45">
      <c r="D6953" s="47"/>
    </row>
    <row r="6954" spans="4:4" x14ac:dyDescent="0.45">
      <c r="D6954" s="47"/>
    </row>
    <row r="6955" spans="4:4" x14ac:dyDescent="0.45">
      <c r="D6955" s="47"/>
    </row>
    <row r="6956" spans="4:4" x14ac:dyDescent="0.45">
      <c r="D6956" s="47"/>
    </row>
    <row r="6957" spans="4:4" x14ac:dyDescent="0.45">
      <c r="D6957" s="47"/>
    </row>
    <row r="6958" spans="4:4" x14ac:dyDescent="0.45">
      <c r="D6958" s="47"/>
    </row>
    <row r="6959" spans="4:4" x14ac:dyDescent="0.45">
      <c r="D6959" s="47"/>
    </row>
    <row r="6960" spans="4:4" x14ac:dyDescent="0.45">
      <c r="D6960" s="47"/>
    </row>
    <row r="6961" spans="4:4" x14ac:dyDescent="0.45">
      <c r="D6961" s="47"/>
    </row>
    <row r="6962" spans="4:4" x14ac:dyDescent="0.45">
      <c r="D6962" s="47"/>
    </row>
    <row r="6963" spans="4:4" x14ac:dyDescent="0.45">
      <c r="D6963" s="47"/>
    </row>
    <row r="6964" spans="4:4" x14ac:dyDescent="0.45">
      <c r="D6964" s="47"/>
    </row>
    <row r="6965" spans="4:4" x14ac:dyDescent="0.45">
      <c r="D6965" s="47"/>
    </row>
    <row r="6966" spans="4:4" x14ac:dyDescent="0.45">
      <c r="D6966" s="47"/>
    </row>
    <row r="6967" spans="4:4" x14ac:dyDescent="0.45">
      <c r="D6967" s="47"/>
    </row>
    <row r="6968" spans="4:4" x14ac:dyDescent="0.45">
      <c r="D6968" s="47"/>
    </row>
    <row r="6969" spans="4:4" x14ac:dyDescent="0.45">
      <c r="D6969" s="47"/>
    </row>
    <row r="6970" spans="4:4" x14ac:dyDescent="0.45">
      <c r="D6970" s="47"/>
    </row>
    <row r="6971" spans="4:4" x14ac:dyDescent="0.45">
      <c r="D6971" s="47"/>
    </row>
    <row r="6972" spans="4:4" x14ac:dyDescent="0.45">
      <c r="D6972" s="47"/>
    </row>
    <row r="6973" spans="4:4" x14ac:dyDescent="0.45">
      <c r="D6973" s="47"/>
    </row>
    <row r="6974" spans="4:4" x14ac:dyDescent="0.45">
      <c r="D6974" s="47"/>
    </row>
    <row r="6975" spans="4:4" x14ac:dyDescent="0.45">
      <c r="D6975" s="47"/>
    </row>
    <row r="6976" spans="4:4" x14ac:dyDescent="0.45">
      <c r="D6976" s="47"/>
    </row>
    <row r="6977" spans="4:4" x14ac:dyDescent="0.45">
      <c r="D6977" s="47"/>
    </row>
    <row r="6978" spans="4:4" x14ac:dyDescent="0.45">
      <c r="D6978" s="47"/>
    </row>
    <row r="6979" spans="4:4" x14ac:dyDescent="0.45">
      <c r="D6979" s="47"/>
    </row>
    <row r="6980" spans="4:4" x14ac:dyDescent="0.45">
      <c r="D6980" s="47"/>
    </row>
    <row r="6981" spans="4:4" x14ac:dyDescent="0.45">
      <c r="D6981" s="47"/>
    </row>
    <row r="6982" spans="4:4" x14ac:dyDescent="0.45">
      <c r="D6982" s="47"/>
    </row>
    <row r="6983" spans="4:4" x14ac:dyDescent="0.45">
      <c r="D6983" s="47"/>
    </row>
    <row r="6984" spans="4:4" x14ac:dyDescent="0.45">
      <c r="D6984" s="47"/>
    </row>
    <row r="6985" spans="4:4" x14ac:dyDescent="0.45">
      <c r="D6985" s="47"/>
    </row>
    <row r="6986" spans="4:4" x14ac:dyDescent="0.45">
      <c r="D6986" s="47"/>
    </row>
    <row r="6987" spans="4:4" x14ac:dyDescent="0.45">
      <c r="D6987" s="47"/>
    </row>
    <row r="6988" spans="4:4" x14ac:dyDescent="0.45">
      <c r="D6988" s="47"/>
    </row>
    <row r="6989" spans="4:4" x14ac:dyDescent="0.45">
      <c r="D6989" s="47"/>
    </row>
    <row r="6990" spans="4:4" x14ac:dyDescent="0.45">
      <c r="D6990" s="47"/>
    </row>
    <row r="6991" spans="4:4" x14ac:dyDescent="0.45">
      <c r="D6991" s="47"/>
    </row>
    <row r="6992" spans="4:4" x14ac:dyDescent="0.45">
      <c r="D6992" s="47"/>
    </row>
    <row r="6993" spans="4:4" x14ac:dyDescent="0.45">
      <c r="D6993" s="47"/>
    </row>
    <row r="6994" spans="4:4" x14ac:dyDescent="0.45">
      <c r="D6994" s="47"/>
    </row>
    <row r="6995" spans="4:4" x14ac:dyDescent="0.45">
      <c r="D6995" s="47"/>
    </row>
    <row r="6996" spans="4:4" x14ac:dyDescent="0.45">
      <c r="D6996" s="47"/>
    </row>
    <row r="6997" spans="4:4" x14ac:dyDescent="0.45">
      <c r="D6997" s="47"/>
    </row>
    <row r="6998" spans="4:4" x14ac:dyDescent="0.45">
      <c r="D6998" s="47"/>
    </row>
    <row r="6999" spans="4:4" x14ac:dyDescent="0.45">
      <c r="D6999" s="47"/>
    </row>
    <row r="7000" spans="4:4" x14ac:dyDescent="0.45">
      <c r="D7000" s="47"/>
    </row>
    <row r="7001" spans="4:4" x14ac:dyDescent="0.45">
      <c r="D7001" s="47"/>
    </row>
    <row r="7002" spans="4:4" x14ac:dyDescent="0.45">
      <c r="D7002" s="47"/>
    </row>
    <row r="7003" spans="4:4" x14ac:dyDescent="0.45">
      <c r="D7003" s="47"/>
    </row>
    <row r="7004" spans="4:4" x14ac:dyDescent="0.45">
      <c r="D7004" s="47"/>
    </row>
    <row r="7005" spans="4:4" x14ac:dyDescent="0.45">
      <c r="D7005" s="47"/>
    </row>
    <row r="7006" spans="4:4" x14ac:dyDescent="0.45">
      <c r="D7006" s="47"/>
    </row>
    <row r="7007" spans="4:4" x14ac:dyDescent="0.45">
      <c r="D7007" s="47"/>
    </row>
    <row r="7008" spans="4:4" x14ac:dyDescent="0.45">
      <c r="D7008" s="47"/>
    </row>
    <row r="7009" spans="4:4" x14ac:dyDescent="0.45">
      <c r="D7009" s="47"/>
    </row>
    <row r="7010" spans="4:4" x14ac:dyDescent="0.45">
      <c r="D7010" s="47"/>
    </row>
    <row r="7011" spans="4:4" x14ac:dyDescent="0.45">
      <c r="D7011" s="47"/>
    </row>
    <row r="7012" spans="4:4" x14ac:dyDescent="0.45">
      <c r="D7012" s="47"/>
    </row>
    <row r="7013" spans="4:4" x14ac:dyDescent="0.45">
      <c r="D7013" s="47"/>
    </row>
    <row r="7014" spans="4:4" x14ac:dyDescent="0.45">
      <c r="D7014" s="47"/>
    </row>
    <row r="7015" spans="4:4" x14ac:dyDescent="0.45">
      <c r="D7015" s="47"/>
    </row>
    <row r="7016" spans="4:4" x14ac:dyDescent="0.45">
      <c r="D7016" s="47"/>
    </row>
    <row r="7017" spans="4:4" x14ac:dyDescent="0.45">
      <c r="D7017" s="47"/>
    </row>
    <row r="7018" spans="4:4" x14ac:dyDescent="0.45">
      <c r="D7018" s="47"/>
    </row>
    <row r="7019" spans="4:4" x14ac:dyDescent="0.45">
      <c r="D7019" s="47"/>
    </row>
    <row r="7020" spans="4:4" x14ac:dyDescent="0.45">
      <c r="D7020" s="47"/>
    </row>
    <row r="7021" spans="4:4" x14ac:dyDescent="0.45">
      <c r="D7021" s="47"/>
    </row>
    <row r="7022" spans="4:4" x14ac:dyDescent="0.45">
      <c r="D7022" s="47"/>
    </row>
    <row r="7023" spans="4:4" x14ac:dyDescent="0.45">
      <c r="D7023" s="47"/>
    </row>
    <row r="7024" spans="4:4" x14ac:dyDescent="0.45">
      <c r="D7024" s="47"/>
    </row>
    <row r="7025" spans="4:4" x14ac:dyDescent="0.45">
      <c r="D7025" s="47"/>
    </row>
    <row r="7026" spans="4:4" x14ac:dyDescent="0.45">
      <c r="D7026" s="47"/>
    </row>
    <row r="7027" spans="4:4" x14ac:dyDescent="0.45">
      <c r="D7027" s="47"/>
    </row>
    <row r="7028" spans="4:4" x14ac:dyDescent="0.45">
      <c r="D7028" s="47"/>
    </row>
    <row r="7029" spans="4:4" x14ac:dyDescent="0.45">
      <c r="D7029" s="47"/>
    </row>
    <row r="7030" spans="4:4" x14ac:dyDescent="0.45">
      <c r="D7030" s="47"/>
    </row>
    <row r="7031" spans="4:4" x14ac:dyDescent="0.45">
      <c r="D7031" s="47"/>
    </row>
    <row r="7032" spans="4:4" x14ac:dyDescent="0.45">
      <c r="D7032" s="47"/>
    </row>
    <row r="7033" spans="4:4" x14ac:dyDescent="0.45">
      <c r="D7033" s="47"/>
    </row>
    <row r="7034" spans="4:4" x14ac:dyDescent="0.45">
      <c r="D7034" s="47"/>
    </row>
    <row r="7035" spans="4:4" x14ac:dyDescent="0.45">
      <c r="D7035" s="47"/>
    </row>
    <row r="7036" spans="4:4" x14ac:dyDescent="0.45">
      <c r="D7036" s="47"/>
    </row>
    <row r="7037" spans="4:4" x14ac:dyDescent="0.45">
      <c r="D7037" s="47"/>
    </row>
    <row r="7038" spans="4:4" x14ac:dyDescent="0.45">
      <c r="D7038" s="47"/>
    </row>
    <row r="7039" spans="4:4" x14ac:dyDescent="0.45">
      <c r="D7039" s="47"/>
    </row>
    <row r="7040" spans="4:4" x14ac:dyDescent="0.45">
      <c r="D7040" s="47"/>
    </row>
    <row r="7041" spans="4:4" x14ac:dyDescent="0.45">
      <c r="D7041" s="47"/>
    </row>
    <row r="7042" spans="4:4" x14ac:dyDescent="0.45">
      <c r="D7042" s="47"/>
    </row>
    <row r="7043" spans="4:4" x14ac:dyDescent="0.45">
      <c r="D7043" s="47"/>
    </row>
    <row r="7044" spans="4:4" x14ac:dyDescent="0.45">
      <c r="D7044" s="47"/>
    </row>
    <row r="7045" spans="4:4" x14ac:dyDescent="0.45">
      <c r="D7045" s="47"/>
    </row>
    <row r="7046" spans="4:4" x14ac:dyDescent="0.45">
      <c r="D7046" s="47"/>
    </row>
    <row r="7047" spans="4:4" x14ac:dyDescent="0.45">
      <c r="D7047" s="47"/>
    </row>
    <row r="7048" spans="4:4" x14ac:dyDescent="0.45">
      <c r="D7048" s="47"/>
    </row>
    <row r="7049" spans="4:4" x14ac:dyDescent="0.45">
      <c r="D7049" s="47"/>
    </row>
    <row r="7050" spans="4:4" x14ac:dyDescent="0.45">
      <c r="D7050" s="47"/>
    </row>
    <row r="7051" spans="4:4" x14ac:dyDescent="0.45">
      <c r="D7051" s="47"/>
    </row>
    <row r="7052" spans="4:4" x14ac:dyDescent="0.45">
      <c r="D7052" s="47"/>
    </row>
    <row r="7053" spans="4:4" x14ac:dyDescent="0.45">
      <c r="D7053" s="47"/>
    </row>
    <row r="7054" spans="4:4" x14ac:dyDescent="0.45">
      <c r="D7054" s="47"/>
    </row>
    <row r="7055" spans="4:4" x14ac:dyDescent="0.45">
      <c r="D7055" s="47"/>
    </row>
    <row r="7056" spans="4:4" x14ac:dyDescent="0.45">
      <c r="D7056" s="47"/>
    </row>
    <row r="7057" spans="4:4" x14ac:dyDescent="0.45">
      <c r="D7057" s="47"/>
    </row>
    <row r="7058" spans="4:4" x14ac:dyDescent="0.45">
      <c r="D7058" s="47"/>
    </row>
    <row r="7059" spans="4:4" x14ac:dyDescent="0.45">
      <c r="D7059" s="47"/>
    </row>
    <row r="7060" spans="4:4" x14ac:dyDescent="0.45">
      <c r="D7060" s="47"/>
    </row>
    <row r="7061" spans="4:4" x14ac:dyDescent="0.45">
      <c r="D7061" s="47"/>
    </row>
    <row r="7062" spans="4:4" x14ac:dyDescent="0.45">
      <c r="D7062" s="47"/>
    </row>
    <row r="7063" spans="4:4" x14ac:dyDescent="0.45">
      <c r="D7063" s="47"/>
    </row>
    <row r="7064" spans="4:4" x14ac:dyDescent="0.45">
      <c r="D7064" s="47"/>
    </row>
    <row r="7065" spans="4:4" x14ac:dyDescent="0.45">
      <c r="D7065" s="47"/>
    </row>
    <row r="7066" spans="4:4" x14ac:dyDescent="0.45">
      <c r="D7066" s="47"/>
    </row>
    <row r="7067" spans="4:4" x14ac:dyDescent="0.45">
      <c r="D7067" s="47"/>
    </row>
    <row r="7068" spans="4:4" x14ac:dyDescent="0.45">
      <c r="D7068" s="47"/>
    </row>
    <row r="7069" spans="4:4" x14ac:dyDescent="0.45">
      <c r="D7069" s="47"/>
    </row>
    <row r="7070" spans="4:4" x14ac:dyDescent="0.45">
      <c r="D7070" s="47"/>
    </row>
    <row r="7071" spans="4:4" x14ac:dyDescent="0.45">
      <c r="D7071" s="47"/>
    </row>
    <row r="7072" spans="4:4" x14ac:dyDescent="0.45">
      <c r="D7072" s="47"/>
    </row>
    <row r="7073" spans="4:4" x14ac:dyDescent="0.45">
      <c r="D7073" s="47"/>
    </row>
    <row r="7074" spans="4:4" x14ac:dyDescent="0.45">
      <c r="D7074" s="47"/>
    </row>
    <row r="7075" spans="4:4" x14ac:dyDescent="0.45">
      <c r="D7075" s="47"/>
    </row>
    <row r="7076" spans="4:4" x14ac:dyDescent="0.45">
      <c r="D7076" s="47"/>
    </row>
    <row r="7077" spans="4:4" x14ac:dyDescent="0.45">
      <c r="D7077" s="47"/>
    </row>
    <row r="7078" spans="4:4" x14ac:dyDescent="0.45">
      <c r="D7078" s="47"/>
    </row>
    <row r="7079" spans="4:4" x14ac:dyDescent="0.45">
      <c r="D7079" s="47"/>
    </row>
    <row r="7080" spans="4:4" x14ac:dyDescent="0.45">
      <c r="D7080" s="47"/>
    </row>
    <row r="7081" spans="4:4" x14ac:dyDescent="0.45">
      <c r="D7081" s="47"/>
    </row>
    <row r="7082" spans="4:4" x14ac:dyDescent="0.45">
      <c r="D7082" s="47"/>
    </row>
    <row r="7083" spans="4:4" x14ac:dyDescent="0.45">
      <c r="D7083" s="47"/>
    </row>
    <row r="7084" spans="4:4" x14ac:dyDescent="0.45">
      <c r="D7084" s="47"/>
    </row>
    <row r="7085" spans="4:4" x14ac:dyDescent="0.45">
      <c r="D7085" s="47"/>
    </row>
    <row r="7086" spans="4:4" x14ac:dyDescent="0.45">
      <c r="D7086" s="47"/>
    </row>
    <row r="7087" spans="4:4" x14ac:dyDescent="0.45">
      <c r="D7087" s="47"/>
    </row>
    <row r="7088" spans="4:4" x14ac:dyDescent="0.45">
      <c r="D7088" s="47"/>
    </row>
    <row r="7089" spans="4:4" x14ac:dyDescent="0.45">
      <c r="D7089" s="47"/>
    </row>
    <row r="7090" spans="4:4" x14ac:dyDescent="0.45">
      <c r="D7090" s="47"/>
    </row>
    <row r="7091" spans="4:4" x14ac:dyDescent="0.45">
      <c r="D7091" s="47"/>
    </row>
    <row r="7092" spans="4:4" x14ac:dyDescent="0.45">
      <c r="D7092" s="47"/>
    </row>
    <row r="7093" spans="4:4" x14ac:dyDescent="0.45">
      <c r="D7093" s="47"/>
    </row>
    <row r="7094" spans="4:4" x14ac:dyDescent="0.45">
      <c r="D7094" s="47"/>
    </row>
    <row r="7095" spans="4:4" x14ac:dyDescent="0.45">
      <c r="D7095" s="47"/>
    </row>
    <row r="7096" spans="4:4" x14ac:dyDescent="0.45">
      <c r="D7096" s="47"/>
    </row>
    <row r="7097" spans="4:4" x14ac:dyDescent="0.45">
      <c r="D7097" s="47"/>
    </row>
    <row r="7098" spans="4:4" x14ac:dyDescent="0.45">
      <c r="D7098" s="47"/>
    </row>
    <row r="7099" spans="4:4" x14ac:dyDescent="0.45">
      <c r="D7099" s="47"/>
    </row>
    <row r="7100" spans="4:4" x14ac:dyDescent="0.45">
      <c r="D7100" s="47"/>
    </row>
    <row r="7101" spans="4:4" x14ac:dyDescent="0.45">
      <c r="D7101" s="47"/>
    </row>
    <row r="7102" spans="4:4" x14ac:dyDescent="0.45">
      <c r="D7102" s="47"/>
    </row>
    <row r="7103" spans="4:4" x14ac:dyDescent="0.45">
      <c r="D7103" s="47"/>
    </row>
    <row r="7104" spans="4:4" x14ac:dyDescent="0.45">
      <c r="D7104" s="47"/>
    </row>
    <row r="7105" spans="4:4" x14ac:dyDescent="0.45">
      <c r="D7105" s="47"/>
    </row>
    <row r="7106" spans="4:4" x14ac:dyDescent="0.45">
      <c r="D7106" s="47"/>
    </row>
    <row r="7107" spans="4:4" x14ac:dyDescent="0.45">
      <c r="D7107" s="47"/>
    </row>
    <row r="7108" spans="4:4" x14ac:dyDescent="0.45">
      <c r="D7108" s="47"/>
    </row>
    <row r="7109" spans="4:4" x14ac:dyDescent="0.45">
      <c r="D7109" s="47"/>
    </row>
    <row r="7110" spans="4:4" x14ac:dyDescent="0.45">
      <c r="D7110" s="47"/>
    </row>
    <row r="7111" spans="4:4" x14ac:dyDescent="0.45">
      <c r="D7111" s="47"/>
    </row>
    <row r="7112" spans="4:4" x14ac:dyDescent="0.45">
      <c r="D7112" s="47"/>
    </row>
    <row r="7113" spans="4:4" x14ac:dyDescent="0.45">
      <c r="D7113" s="47"/>
    </row>
    <row r="7114" spans="4:4" x14ac:dyDescent="0.45">
      <c r="D7114" s="47"/>
    </row>
    <row r="7115" spans="4:4" x14ac:dyDescent="0.45">
      <c r="D7115" s="47"/>
    </row>
    <row r="7116" spans="4:4" x14ac:dyDescent="0.45">
      <c r="D7116" s="47"/>
    </row>
    <row r="7117" spans="4:4" x14ac:dyDescent="0.45">
      <c r="D7117" s="47"/>
    </row>
    <row r="7118" spans="4:4" x14ac:dyDescent="0.45">
      <c r="D7118" s="47"/>
    </row>
    <row r="7119" spans="4:4" x14ac:dyDescent="0.45">
      <c r="D7119" s="47"/>
    </row>
    <row r="7120" spans="4:4" x14ac:dyDescent="0.45">
      <c r="D7120" s="47"/>
    </row>
    <row r="7121" spans="4:4" x14ac:dyDescent="0.45">
      <c r="D7121" s="47"/>
    </row>
    <row r="7122" spans="4:4" x14ac:dyDescent="0.45">
      <c r="D7122" s="47"/>
    </row>
    <row r="7123" spans="4:4" x14ac:dyDescent="0.45">
      <c r="D7123" s="47"/>
    </row>
    <row r="7124" spans="4:4" x14ac:dyDescent="0.45">
      <c r="D7124" s="47"/>
    </row>
    <row r="7125" spans="4:4" x14ac:dyDescent="0.45">
      <c r="D7125" s="47"/>
    </row>
    <row r="7126" spans="4:4" x14ac:dyDescent="0.45">
      <c r="D7126" s="47"/>
    </row>
    <row r="7127" spans="4:4" x14ac:dyDescent="0.45">
      <c r="D7127" s="47"/>
    </row>
    <row r="7128" spans="4:4" x14ac:dyDescent="0.45">
      <c r="D7128" s="47"/>
    </row>
    <row r="7129" spans="4:4" x14ac:dyDescent="0.45">
      <c r="D7129" s="47"/>
    </row>
    <row r="7130" spans="4:4" x14ac:dyDescent="0.45">
      <c r="D7130" s="47"/>
    </row>
    <row r="7131" spans="4:4" x14ac:dyDescent="0.45">
      <c r="D7131" s="47"/>
    </row>
    <row r="7132" spans="4:4" x14ac:dyDescent="0.45">
      <c r="D7132" s="47"/>
    </row>
    <row r="7133" spans="4:4" x14ac:dyDescent="0.45">
      <c r="D7133" s="47"/>
    </row>
    <row r="7134" spans="4:4" x14ac:dyDescent="0.45">
      <c r="D7134" s="47"/>
    </row>
    <row r="7135" spans="4:4" x14ac:dyDescent="0.45">
      <c r="D7135" s="47"/>
    </row>
    <row r="7136" spans="4:4" x14ac:dyDescent="0.45">
      <c r="D7136" s="47"/>
    </row>
    <row r="7137" spans="4:4" x14ac:dyDescent="0.45">
      <c r="D7137" s="47"/>
    </row>
    <row r="7138" spans="4:4" x14ac:dyDescent="0.45">
      <c r="D7138" s="47"/>
    </row>
    <row r="7139" spans="4:4" x14ac:dyDescent="0.45">
      <c r="D7139" s="47"/>
    </row>
    <row r="7140" spans="4:4" x14ac:dyDescent="0.45">
      <c r="D7140" s="47"/>
    </row>
    <row r="7141" spans="4:4" x14ac:dyDescent="0.45">
      <c r="D7141" s="47"/>
    </row>
    <row r="7142" spans="4:4" x14ac:dyDescent="0.45">
      <c r="D7142" s="47"/>
    </row>
    <row r="7143" spans="4:4" x14ac:dyDescent="0.45">
      <c r="D7143" s="47"/>
    </row>
    <row r="7144" spans="4:4" x14ac:dyDescent="0.45">
      <c r="D7144" s="47"/>
    </row>
    <row r="7145" spans="4:4" x14ac:dyDescent="0.45">
      <c r="D7145" s="47"/>
    </row>
    <row r="7146" spans="4:4" x14ac:dyDescent="0.45">
      <c r="D7146" s="47"/>
    </row>
    <row r="7147" spans="4:4" x14ac:dyDescent="0.45">
      <c r="D7147" s="47"/>
    </row>
    <row r="7148" spans="4:4" x14ac:dyDescent="0.45">
      <c r="D7148" s="47"/>
    </row>
    <row r="7149" spans="4:4" x14ac:dyDescent="0.45">
      <c r="D7149" s="47"/>
    </row>
    <row r="7150" spans="4:4" x14ac:dyDescent="0.45">
      <c r="D7150" s="47"/>
    </row>
    <row r="7151" spans="4:4" x14ac:dyDescent="0.45">
      <c r="D7151" s="47"/>
    </row>
    <row r="7152" spans="4:4" x14ac:dyDescent="0.45">
      <c r="D7152" s="47"/>
    </row>
    <row r="7153" spans="4:4" x14ac:dyDescent="0.45">
      <c r="D7153" s="47"/>
    </row>
    <row r="7154" spans="4:4" x14ac:dyDescent="0.45">
      <c r="D7154" s="47"/>
    </row>
    <row r="7155" spans="4:4" x14ac:dyDescent="0.45">
      <c r="D7155" s="47"/>
    </row>
    <row r="7156" spans="4:4" x14ac:dyDescent="0.45">
      <c r="D7156" s="47"/>
    </row>
    <row r="7157" spans="4:4" x14ac:dyDescent="0.45">
      <c r="D7157" s="47"/>
    </row>
    <row r="7158" spans="4:4" x14ac:dyDescent="0.45">
      <c r="D7158" s="47"/>
    </row>
    <row r="7159" spans="4:4" x14ac:dyDescent="0.45">
      <c r="D7159" s="47"/>
    </row>
    <row r="7160" spans="4:4" x14ac:dyDescent="0.45">
      <c r="D7160" s="47"/>
    </row>
    <row r="7161" spans="4:4" x14ac:dyDescent="0.45">
      <c r="D7161" s="47"/>
    </row>
    <row r="7162" spans="4:4" x14ac:dyDescent="0.45">
      <c r="D7162" s="47"/>
    </row>
    <row r="7163" spans="4:4" x14ac:dyDescent="0.45">
      <c r="D7163" s="47"/>
    </row>
    <row r="7164" spans="4:4" x14ac:dyDescent="0.45">
      <c r="D7164" s="47"/>
    </row>
    <row r="7165" spans="4:4" x14ac:dyDescent="0.45">
      <c r="D7165" s="47"/>
    </row>
    <row r="7166" spans="4:4" x14ac:dyDescent="0.45">
      <c r="D7166" s="47"/>
    </row>
    <row r="7167" spans="4:4" x14ac:dyDescent="0.45">
      <c r="D7167" s="47"/>
    </row>
    <row r="7168" spans="4:4" x14ac:dyDescent="0.45">
      <c r="D7168" s="47"/>
    </row>
    <row r="7169" spans="4:4" x14ac:dyDescent="0.45">
      <c r="D7169" s="47"/>
    </row>
    <row r="7170" spans="4:4" x14ac:dyDescent="0.45">
      <c r="D7170" s="47"/>
    </row>
    <row r="7171" spans="4:4" x14ac:dyDescent="0.45">
      <c r="D7171" s="47"/>
    </row>
    <row r="7172" spans="4:4" x14ac:dyDescent="0.45">
      <c r="D7172" s="47"/>
    </row>
    <row r="7173" spans="4:4" x14ac:dyDescent="0.45">
      <c r="D7173" s="47"/>
    </row>
    <row r="7174" spans="4:4" x14ac:dyDescent="0.45">
      <c r="D7174" s="47"/>
    </row>
    <row r="7175" spans="4:4" x14ac:dyDescent="0.45">
      <c r="D7175" s="47"/>
    </row>
    <row r="7176" spans="4:4" x14ac:dyDescent="0.45">
      <c r="D7176" s="47"/>
    </row>
    <row r="7177" spans="4:4" x14ac:dyDescent="0.45">
      <c r="D7177" s="47"/>
    </row>
    <row r="7178" spans="4:4" x14ac:dyDescent="0.45">
      <c r="D7178" s="47"/>
    </row>
    <row r="7179" spans="4:4" x14ac:dyDescent="0.45">
      <c r="D7179" s="47"/>
    </row>
    <row r="7180" spans="4:4" x14ac:dyDescent="0.45">
      <c r="D7180" s="47"/>
    </row>
    <row r="7181" spans="4:4" x14ac:dyDescent="0.45">
      <c r="D7181" s="47"/>
    </row>
    <row r="7182" spans="4:4" x14ac:dyDescent="0.45">
      <c r="D7182" s="47"/>
    </row>
    <row r="7183" spans="4:4" x14ac:dyDescent="0.45">
      <c r="D7183" s="47"/>
    </row>
    <row r="7184" spans="4:4" x14ac:dyDescent="0.45">
      <c r="D7184" s="47"/>
    </row>
    <row r="7185" spans="4:4" x14ac:dyDescent="0.45">
      <c r="D7185" s="47"/>
    </row>
    <row r="7186" spans="4:4" x14ac:dyDescent="0.45">
      <c r="D7186" s="47"/>
    </row>
    <row r="7187" spans="4:4" x14ac:dyDescent="0.45">
      <c r="D7187" s="47"/>
    </row>
    <row r="7188" spans="4:4" x14ac:dyDescent="0.45">
      <c r="D7188" s="47"/>
    </row>
    <row r="7189" spans="4:4" x14ac:dyDescent="0.45">
      <c r="D7189" s="47"/>
    </row>
    <row r="7190" spans="4:4" x14ac:dyDescent="0.45">
      <c r="D7190" s="47"/>
    </row>
    <row r="7191" spans="4:4" x14ac:dyDescent="0.45">
      <c r="D7191" s="47"/>
    </row>
    <row r="7192" spans="4:4" x14ac:dyDescent="0.45">
      <c r="D7192" s="47"/>
    </row>
    <row r="7193" spans="4:4" x14ac:dyDescent="0.45">
      <c r="D7193" s="47"/>
    </row>
    <row r="7194" spans="4:4" x14ac:dyDescent="0.45">
      <c r="D7194" s="47"/>
    </row>
    <row r="7195" spans="4:4" x14ac:dyDescent="0.45">
      <c r="D7195" s="47"/>
    </row>
    <row r="7196" spans="4:4" x14ac:dyDescent="0.45">
      <c r="D7196" s="47"/>
    </row>
    <row r="7197" spans="4:4" x14ac:dyDescent="0.45">
      <c r="D7197" s="47"/>
    </row>
    <row r="7198" spans="4:4" x14ac:dyDescent="0.45">
      <c r="D7198" s="47"/>
    </row>
    <row r="7199" spans="4:4" x14ac:dyDescent="0.45">
      <c r="D7199" s="47"/>
    </row>
    <row r="7200" spans="4:4" x14ac:dyDescent="0.45">
      <c r="D7200" s="47"/>
    </row>
    <row r="7201" spans="4:4" x14ac:dyDescent="0.45">
      <c r="D7201" s="47"/>
    </row>
    <row r="7202" spans="4:4" x14ac:dyDescent="0.45">
      <c r="D7202" s="47"/>
    </row>
    <row r="7203" spans="4:4" x14ac:dyDescent="0.45">
      <c r="D7203" s="47"/>
    </row>
    <row r="7204" spans="4:4" x14ac:dyDescent="0.45">
      <c r="D7204" s="47"/>
    </row>
    <row r="7205" spans="4:4" x14ac:dyDescent="0.45">
      <c r="D7205" s="47"/>
    </row>
    <row r="7206" spans="4:4" x14ac:dyDescent="0.45">
      <c r="D7206" s="47"/>
    </row>
    <row r="7207" spans="4:4" x14ac:dyDescent="0.45">
      <c r="D7207" s="47"/>
    </row>
    <row r="7208" spans="4:4" x14ac:dyDescent="0.45">
      <c r="D7208" s="47"/>
    </row>
    <row r="7209" spans="4:4" x14ac:dyDescent="0.45">
      <c r="D7209" s="47"/>
    </row>
    <row r="7210" spans="4:4" x14ac:dyDescent="0.45">
      <c r="D7210" s="47"/>
    </row>
    <row r="7211" spans="4:4" x14ac:dyDescent="0.45">
      <c r="D7211" s="47"/>
    </row>
    <row r="7212" spans="4:4" x14ac:dyDescent="0.45">
      <c r="D7212" s="47"/>
    </row>
    <row r="7213" spans="4:4" x14ac:dyDescent="0.45">
      <c r="D7213" s="47"/>
    </row>
    <row r="7214" spans="4:4" x14ac:dyDescent="0.45">
      <c r="D7214" s="47"/>
    </row>
    <row r="7215" spans="4:4" x14ac:dyDescent="0.45">
      <c r="D7215" s="47"/>
    </row>
    <row r="7216" spans="4:4" x14ac:dyDescent="0.45">
      <c r="D7216" s="47"/>
    </row>
    <row r="7217" spans="4:4" x14ac:dyDescent="0.45">
      <c r="D7217" s="47"/>
    </row>
    <row r="7218" spans="4:4" x14ac:dyDescent="0.45">
      <c r="D7218" s="47"/>
    </row>
    <row r="7219" spans="4:4" x14ac:dyDescent="0.45">
      <c r="D7219" s="47"/>
    </row>
    <row r="7220" spans="4:4" x14ac:dyDescent="0.45">
      <c r="D7220" s="47"/>
    </row>
    <row r="7221" spans="4:4" x14ac:dyDescent="0.45">
      <c r="D7221" s="47"/>
    </row>
    <row r="7222" spans="4:4" x14ac:dyDescent="0.45">
      <c r="D7222" s="47"/>
    </row>
    <row r="7223" spans="4:4" x14ac:dyDescent="0.45">
      <c r="D7223" s="47"/>
    </row>
    <row r="7224" spans="4:4" x14ac:dyDescent="0.45">
      <c r="D7224" s="47"/>
    </row>
    <row r="7225" spans="4:4" x14ac:dyDescent="0.45">
      <c r="D7225" s="47"/>
    </row>
    <row r="7226" spans="4:4" x14ac:dyDescent="0.45">
      <c r="D7226" s="47"/>
    </row>
    <row r="7227" spans="4:4" x14ac:dyDescent="0.45">
      <c r="D7227" s="47"/>
    </row>
    <row r="7228" spans="4:4" x14ac:dyDescent="0.45">
      <c r="D7228" s="47"/>
    </row>
    <row r="7229" spans="4:4" x14ac:dyDescent="0.45">
      <c r="D7229" s="47"/>
    </row>
    <row r="7230" spans="4:4" x14ac:dyDescent="0.45">
      <c r="D7230" s="47"/>
    </row>
    <row r="7231" spans="4:4" x14ac:dyDescent="0.45">
      <c r="D7231" s="47"/>
    </row>
    <row r="7232" spans="4:4" x14ac:dyDescent="0.45">
      <c r="D7232" s="47"/>
    </row>
    <row r="7233" spans="4:4" x14ac:dyDescent="0.45">
      <c r="D7233" s="47"/>
    </row>
    <row r="7234" spans="4:4" x14ac:dyDescent="0.45">
      <c r="D7234" s="47"/>
    </row>
    <row r="7235" spans="4:4" x14ac:dyDescent="0.45">
      <c r="D7235" s="47"/>
    </row>
    <row r="7236" spans="4:4" x14ac:dyDescent="0.45">
      <c r="D7236" s="47"/>
    </row>
    <row r="7237" spans="4:4" x14ac:dyDescent="0.45">
      <c r="D7237" s="47"/>
    </row>
    <row r="7238" spans="4:4" x14ac:dyDescent="0.45">
      <c r="D7238" s="47"/>
    </row>
    <row r="7239" spans="4:4" x14ac:dyDescent="0.45">
      <c r="D7239" s="47"/>
    </row>
    <row r="7240" spans="4:4" x14ac:dyDescent="0.45">
      <c r="D7240" s="47"/>
    </row>
    <row r="7241" spans="4:4" x14ac:dyDescent="0.45">
      <c r="D7241" s="47"/>
    </row>
    <row r="7242" spans="4:4" x14ac:dyDescent="0.45">
      <c r="D7242" s="47"/>
    </row>
    <row r="7243" spans="4:4" x14ac:dyDescent="0.45">
      <c r="D7243" s="47"/>
    </row>
    <row r="7244" spans="4:4" x14ac:dyDescent="0.45">
      <c r="D7244" s="47"/>
    </row>
    <row r="7245" spans="4:4" x14ac:dyDescent="0.45">
      <c r="D7245" s="47"/>
    </row>
    <row r="7246" spans="4:4" x14ac:dyDescent="0.45">
      <c r="D7246" s="47"/>
    </row>
    <row r="7247" spans="4:4" x14ac:dyDescent="0.45">
      <c r="D7247" s="47"/>
    </row>
    <row r="7248" spans="4:4" x14ac:dyDescent="0.45">
      <c r="D7248" s="47"/>
    </row>
    <row r="7249" spans="4:4" x14ac:dyDescent="0.45">
      <c r="D7249" s="47"/>
    </row>
    <row r="7250" spans="4:4" x14ac:dyDescent="0.45">
      <c r="D7250" s="47"/>
    </row>
    <row r="7251" spans="4:4" x14ac:dyDescent="0.45">
      <c r="D7251" s="47"/>
    </row>
    <row r="7252" spans="4:4" x14ac:dyDescent="0.45">
      <c r="D7252" s="47"/>
    </row>
    <row r="7253" spans="4:4" x14ac:dyDescent="0.45">
      <c r="D7253" s="47"/>
    </row>
    <row r="7254" spans="4:4" x14ac:dyDescent="0.45">
      <c r="D7254" s="47"/>
    </row>
    <row r="7255" spans="4:4" x14ac:dyDescent="0.45">
      <c r="D7255" s="47"/>
    </row>
    <row r="7256" spans="4:4" x14ac:dyDescent="0.45">
      <c r="D7256" s="47"/>
    </row>
    <row r="7257" spans="4:4" x14ac:dyDescent="0.45">
      <c r="D7257" s="47"/>
    </row>
    <row r="7258" spans="4:4" x14ac:dyDescent="0.45">
      <c r="D7258" s="47"/>
    </row>
    <row r="7259" spans="4:4" x14ac:dyDescent="0.45">
      <c r="D7259" s="47"/>
    </row>
    <row r="7260" spans="4:4" x14ac:dyDescent="0.45">
      <c r="D7260" s="47"/>
    </row>
    <row r="7261" spans="4:4" x14ac:dyDescent="0.45">
      <c r="D7261" s="47"/>
    </row>
    <row r="7262" spans="4:4" x14ac:dyDescent="0.45">
      <c r="D7262" s="47"/>
    </row>
    <row r="7263" spans="4:4" x14ac:dyDescent="0.45">
      <c r="D7263" s="47"/>
    </row>
    <row r="7264" spans="4:4" x14ac:dyDescent="0.45">
      <c r="D7264" s="47"/>
    </row>
    <row r="7265" spans="4:4" x14ac:dyDescent="0.45">
      <c r="D7265" s="47"/>
    </row>
    <row r="7266" spans="4:4" x14ac:dyDescent="0.45">
      <c r="D7266" s="47"/>
    </row>
    <row r="7267" spans="4:4" x14ac:dyDescent="0.45">
      <c r="D7267" s="47"/>
    </row>
    <row r="7268" spans="4:4" x14ac:dyDescent="0.45">
      <c r="D7268" s="47"/>
    </row>
    <row r="7269" spans="4:4" x14ac:dyDescent="0.45">
      <c r="D7269" s="47"/>
    </row>
    <row r="7270" spans="4:4" x14ac:dyDescent="0.45">
      <c r="D7270" s="47"/>
    </row>
    <row r="7271" spans="4:4" x14ac:dyDescent="0.45">
      <c r="D7271" s="47"/>
    </row>
    <row r="7272" spans="4:4" x14ac:dyDescent="0.45">
      <c r="D7272" s="47"/>
    </row>
    <row r="7273" spans="4:4" x14ac:dyDescent="0.45">
      <c r="D7273" s="47"/>
    </row>
    <row r="7274" spans="4:4" x14ac:dyDescent="0.45">
      <c r="D7274" s="47"/>
    </row>
    <row r="7275" spans="4:4" x14ac:dyDescent="0.45">
      <c r="D7275" s="47"/>
    </row>
    <row r="7276" spans="4:4" x14ac:dyDescent="0.45">
      <c r="D7276" s="47"/>
    </row>
    <row r="7277" spans="4:4" x14ac:dyDescent="0.45">
      <c r="D7277" s="47"/>
    </row>
    <row r="7278" spans="4:4" x14ac:dyDescent="0.45">
      <c r="D7278" s="47"/>
    </row>
    <row r="7279" spans="4:4" x14ac:dyDescent="0.45">
      <c r="D7279" s="47"/>
    </row>
    <row r="7280" spans="4:4" x14ac:dyDescent="0.45">
      <c r="D7280" s="47"/>
    </row>
    <row r="7281" spans="4:4" x14ac:dyDescent="0.45">
      <c r="D7281" s="47"/>
    </row>
    <row r="7282" spans="4:4" x14ac:dyDescent="0.45">
      <c r="D7282" s="47"/>
    </row>
    <row r="7283" spans="4:4" x14ac:dyDescent="0.45">
      <c r="D7283" s="47"/>
    </row>
    <row r="7284" spans="4:4" x14ac:dyDescent="0.45">
      <c r="D7284" s="47"/>
    </row>
    <row r="7285" spans="4:4" x14ac:dyDescent="0.45">
      <c r="D7285" s="47"/>
    </row>
    <row r="7286" spans="4:4" x14ac:dyDescent="0.45">
      <c r="D7286" s="47"/>
    </row>
    <row r="7287" spans="4:4" x14ac:dyDescent="0.45">
      <c r="D7287" s="47"/>
    </row>
    <row r="7288" spans="4:4" x14ac:dyDescent="0.45">
      <c r="D7288" s="47"/>
    </row>
    <row r="7289" spans="4:4" x14ac:dyDescent="0.45">
      <c r="D7289" s="47"/>
    </row>
    <row r="7290" spans="4:4" x14ac:dyDescent="0.45">
      <c r="D7290" s="47"/>
    </row>
    <row r="7291" spans="4:4" x14ac:dyDescent="0.45">
      <c r="D7291" s="47"/>
    </row>
    <row r="7292" spans="4:4" x14ac:dyDescent="0.45">
      <c r="D7292" s="47"/>
    </row>
    <row r="7293" spans="4:4" x14ac:dyDescent="0.45">
      <c r="D7293" s="47"/>
    </row>
    <row r="7294" spans="4:4" x14ac:dyDescent="0.45">
      <c r="D7294" s="47"/>
    </row>
    <row r="7295" spans="4:4" x14ac:dyDescent="0.45">
      <c r="D7295" s="47"/>
    </row>
    <row r="7296" spans="4:4" x14ac:dyDescent="0.45">
      <c r="D7296" s="47"/>
    </row>
    <row r="7297" spans="4:4" x14ac:dyDescent="0.45">
      <c r="D7297" s="47"/>
    </row>
    <row r="7298" spans="4:4" x14ac:dyDescent="0.45">
      <c r="D7298" s="47"/>
    </row>
    <row r="7299" spans="4:4" x14ac:dyDescent="0.45">
      <c r="D7299" s="47"/>
    </row>
    <row r="7300" spans="4:4" x14ac:dyDescent="0.45">
      <c r="D7300" s="47"/>
    </row>
    <row r="7301" spans="4:4" x14ac:dyDescent="0.45">
      <c r="D7301" s="47"/>
    </row>
    <row r="7302" spans="4:4" x14ac:dyDescent="0.45">
      <c r="D7302" s="47"/>
    </row>
    <row r="7303" spans="4:4" x14ac:dyDescent="0.45">
      <c r="D7303" s="47"/>
    </row>
    <row r="7304" spans="4:4" x14ac:dyDescent="0.45">
      <c r="D7304" s="47"/>
    </row>
    <row r="7305" spans="4:4" x14ac:dyDescent="0.45">
      <c r="D7305" s="47"/>
    </row>
    <row r="7306" spans="4:4" x14ac:dyDescent="0.45">
      <c r="D7306" s="47"/>
    </row>
    <row r="7307" spans="4:4" x14ac:dyDescent="0.45">
      <c r="D7307" s="47"/>
    </row>
    <row r="7308" spans="4:4" x14ac:dyDescent="0.45">
      <c r="D7308" s="47"/>
    </row>
    <row r="7309" spans="4:4" x14ac:dyDescent="0.45">
      <c r="D7309" s="47"/>
    </row>
    <row r="7310" spans="4:4" x14ac:dyDescent="0.45">
      <c r="D7310" s="47"/>
    </row>
    <row r="7311" spans="4:4" x14ac:dyDescent="0.45">
      <c r="D7311" s="47"/>
    </row>
    <row r="7312" spans="4:4" x14ac:dyDescent="0.45">
      <c r="D7312" s="47"/>
    </row>
    <row r="7313" spans="4:4" x14ac:dyDescent="0.45">
      <c r="D7313" s="47"/>
    </row>
    <row r="7314" spans="4:4" x14ac:dyDescent="0.45">
      <c r="D7314" s="47"/>
    </row>
    <row r="7315" spans="4:4" x14ac:dyDescent="0.45">
      <c r="D7315" s="47"/>
    </row>
    <row r="7316" spans="4:4" x14ac:dyDescent="0.45">
      <c r="D7316" s="47"/>
    </row>
    <row r="7317" spans="4:4" x14ac:dyDescent="0.45">
      <c r="D7317" s="47"/>
    </row>
    <row r="7318" spans="4:4" x14ac:dyDescent="0.45">
      <c r="D7318" s="47"/>
    </row>
    <row r="7319" spans="4:4" x14ac:dyDescent="0.45">
      <c r="D7319" s="47"/>
    </row>
    <row r="7320" spans="4:4" x14ac:dyDescent="0.45">
      <c r="D7320" s="47"/>
    </row>
    <row r="7321" spans="4:4" x14ac:dyDescent="0.45">
      <c r="D7321" s="47"/>
    </row>
    <row r="7322" spans="4:4" x14ac:dyDescent="0.45">
      <c r="D7322" s="47"/>
    </row>
    <row r="7323" spans="4:4" x14ac:dyDescent="0.45">
      <c r="D7323" s="47"/>
    </row>
    <row r="7324" spans="4:4" x14ac:dyDescent="0.45">
      <c r="D7324" s="47"/>
    </row>
    <row r="7325" spans="4:4" x14ac:dyDescent="0.45">
      <c r="D7325" s="47"/>
    </row>
    <row r="7326" spans="4:4" x14ac:dyDescent="0.45">
      <c r="D7326" s="47"/>
    </row>
    <row r="7327" spans="4:4" x14ac:dyDescent="0.45">
      <c r="D7327" s="47"/>
    </row>
    <row r="7328" spans="4:4" x14ac:dyDescent="0.45">
      <c r="D7328" s="47"/>
    </row>
    <row r="7329" spans="4:4" x14ac:dyDescent="0.45">
      <c r="D7329" s="47"/>
    </row>
    <row r="7330" spans="4:4" x14ac:dyDescent="0.45">
      <c r="D7330" s="47"/>
    </row>
    <row r="7331" spans="4:4" x14ac:dyDescent="0.45">
      <c r="D7331" s="47"/>
    </row>
    <row r="7332" spans="4:4" x14ac:dyDescent="0.45">
      <c r="D7332" s="47"/>
    </row>
    <row r="7333" spans="4:4" x14ac:dyDescent="0.45">
      <c r="D7333" s="47"/>
    </row>
    <row r="7334" spans="4:4" x14ac:dyDescent="0.45">
      <c r="D7334" s="47"/>
    </row>
    <row r="7335" spans="4:4" x14ac:dyDescent="0.45">
      <c r="D7335" s="47"/>
    </row>
    <row r="7336" spans="4:4" x14ac:dyDescent="0.45">
      <c r="D7336" s="47"/>
    </row>
    <row r="7337" spans="4:4" x14ac:dyDescent="0.45">
      <c r="D7337" s="47"/>
    </row>
    <row r="7338" spans="4:4" x14ac:dyDescent="0.45">
      <c r="D7338" s="47"/>
    </row>
    <row r="7339" spans="4:4" x14ac:dyDescent="0.45">
      <c r="D7339" s="47"/>
    </row>
    <row r="7340" spans="4:4" x14ac:dyDescent="0.45">
      <c r="D7340" s="47"/>
    </row>
    <row r="7341" spans="4:4" x14ac:dyDescent="0.45">
      <c r="D7341" s="47"/>
    </row>
    <row r="7342" spans="4:4" x14ac:dyDescent="0.45">
      <c r="D7342" s="47"/>
    </row>
    <row r="7343" spans="4:4" x14ac:dyDescent="0.45">
      <c r="D7343" s="47"/>
    </row>
    <row r="7344" spans="4:4" x14ac:dyDescent="0.45">
      <c r="D7344" s="47"/>
    </row>
    <row r="7345" spans="4:4" x14ac:dyDescent="0.45">
      <c r="D7345" s="47"/>
    </row>
    <row r="7346" spans="4:4" x14ac:dyDescent="0.45">
      <c r="D7346" s="47"/>
    </row>
    <row r="7347" spans="4:4" x14ac:dyDescent="0.45">
      <c r="D7347" s="47"/>
    </row>
    <row r="7348" spans="4:4" x14ac:dyDescent="0.45">
      <c r="D7348" s="47"/>
    </row>
    <row r="7349" spans="4:4" x14ac:dyDescent="0.45">
      <c r="D7349" s="47"/>
    </row>
    <row r="7350" spans="4:4" x14ac:dyDescent="0.45">
      <c r="D7350" s="47"/>
    </row>
    <row r="7351" spans="4:4" x14ac:dyDescent="0.45">
      <c r="D7351" s="47"/>
    </row>
    <row r="7352" spans="4:4" x14ac:dyDescent="0.45">
      <c r="D7352" s="47"/>
    </row>
    <row r="7353" spans="4:4" x14ac:dyDescent="0.45">
      <c r="D7353" s="47"/>
    </row>
    <row r="7354" spans="4:4" x14ac:dyDescent="0.45">
      <c r="D7354" s="47"/>
    </row>
    <row r="7355" spans="4:4" x14ac:dyDescent="0.45">
      <c r="D7355" s="47"/>
    </row>
    <row r="7356" spans="4:4" x14ac:dyDescent="0.45">
      <c r="D7356" s="47"/>
    </row>
    <row r="7357" spans="4:4" x14ac:dyDescent="0.45">
      <c r="D7357" s="47"/>
    </row>
    <row r="7358" spans="4:4" x14ac:dyDescent="0.45">
      <c r="D7358" s="47"/>
    </row>
    <row r="7359" spans="4:4" x14ac:dyDescent="0.45">
      <c r="D7359" s="47"/>
    </row>
    <row r="7360" spans="4:4" x14ac:dyDescent="0.45">
      <c r="D7360" s="47"/>
    </row>
    <row r="7361" spans="4:4" x14ac:dyDescent="0.45">
      <c r="D7361" s="47"/>
    </row>
    <row r="7362" spans="4:4" x14ac:dyDescent="0.45">
      <c r="D7362" s="47"/>
    </row>
    <row r="7363" spans="4:4" x14ac:dyDescent="0.45">
      <c r="D7363" s="47"/>
    </row>
    <row r="7364" spans="4:4" x14ac:dyDescent="0.45">
      <c r="D7364" s="47"/>
    </row>
    <row r="7365" spans="4:4" x14ac:dyDescent="0.45">
      <c r="D7365" s="47"/>
    </row>
    <row r="7366" spans="4:4" x14ac:dyDescent="0.45">
      <c r="D7366" s="47"/>
    </row>
    <row r="7367" spans="4:4" x14ac:dyDescent="0.45">
      <c r="D7367" s="47"/>
    </row>
    <row r="7368" spans="4:4" x14ac:dyDescent="0.45">
      <c r="D7368" s="47"/>
    </row>
    <row r="7369" spans="4:4" x14ac:dyDescent="0.45">
      <c r="D7369" s="47"/>
    </row>
    <row r="7370" spans="4:4" x14ac:dyDescent="0.45">
      <c r="D7370" s="47"/>
    </row>
    <row r="7371" spans="4:4" x14ac:dyDescent="0.45">
      <c r="D7371" s="47"/>
    </row>
    <row r="7372" spans="4:4" x14ac:dyDescent="0.45">
      <c r="D7372" s="47"/>
    </row>
    <row r="7373" spans="4:4" x14ac:dyDescent="0.45">
      <c r="D7373" s="47"/>
    </row>
    <row r="7374" spans="4:4" x14ac:dyDescent="0.45">
      <c r="D7374" s="47"/>
    </row>
    <row r="7375" spans="4:4" x14ac:dyDescent="0.45">
      <c r="D7375" s="47"/>
    </row>
    <row r="7376" spans="4:4" x14ac:dyDescent="0.45">
      <c r="D7376" s="47"/>
    </row>
    <row r="7377" spans="4:4" x14ac:dyDescent="0.45">
      <c r="D7377" s="47"/>
    </row>
    <row r="7378" spans="4:4" x14ac:dyDescent="0.45">
      <c r="D7378" s="47"/>
    </row>
    <row r="7379" spans="4:4" x14ac:dyDescent="0.45">
      <c r="D7379" s="47"/>
    </row>
    <row r="7380" spans="4:4" x14ac:dyDescent="0.45">
      <c r="D7380" s="47"/>
    </row>
    <row r="7381" spans="4:4" x14ac:dyDescent="0.45">
      <c r="D7381" s="47"/>
    </row>
    <row r="7382" spans="4:4" x14ac:dyDescent="0.45">
      <c r="D7382" s="47"/>
    </row>
    <row r="7383" spans="4:4" x14ac:dyDescent="0.45">
      <c r="D7383" s="47"/>
    </row>
    <row r="7384" spans="4:4" x14ac:dyDescent="0.45">
      <c r="D7384" s="47"/>
    </row>
    <row r="7385" spans="4:4" x14ac:dyDescent="0.45">
      <c r="D7385" s="47"/>
    </row>
    <row r="7386" spans="4:4" x14ac:dyDescent="0.45">
      <c r="D7386" s="47"/>
    </row>
    <row r="7387" spans="4:4" x14ac:dyDescent="0.45">
      <c r="D7387" s="47"/>
    </row>
    <row r="7388" spans="4:4" x14ac:dyDescent="0.45">
      <c r="D7388" s="47"/>
    </row>
    <row r="7389" spans="4:4" x14ac:dyDescent="0.45">
      <c r="D7389" s="47"/>
    </row>
    <row r="7390" spans="4:4" x14ac:dyDescent="0.45">
      <c r="D7390" s="47"/>
    </row>
    <row r="7391" spans="4:4" x14ac:dyDescent="0.45">
      <c r="D7391" s="47"/>
    </row>
    <row r="7392" spans="4:4" x14ac:dyDescent="0.45">
      <c r="D7392" s="47"/>
    </row>
    <row r="7393" spans="4:4" x14ac:dyDescent="0.45">
      <c r="D7393" s="47"/>
    </row>
    <row r="7394" spans="4:4" x14ac:dyDescent="0.45">
      <c r="D7394" s="47"/>
    </row>
    <row r="7395" spans="4:4" x14ac:dyDescent="0.45">
      <c r="D7395" s="47"/>
    </row>
    <row r="7396" spans="4:4" x14ac:dyDescent="0.45">
      <c r="D7396" s="47"/>
    </row>
    <row r="7397" spans="4:4" x14ac:dyDescent="0.45">
      <c r="D7397" s="47"/>
    </row>
    <row r="7398" spans="4:4" x14ac:dyDescent="0.45">
      <c r="D7398" s="47"/>
    </row>
    <row r="7399" spans="4:4" x14ac:dyDescent="0.45">
      <c r="D7399" s="47"/>
    </row>
    <row r="7400" spans="4:4" x14ac:dyDescent="0.45">
      <c r="D7400" s="47"/>
    </row>
    <row r="7401" spans="4:4" x14ac:dyDescent="0.45">
      <c r="D7401" s="47"/>
    </row>
    <row r="7402" spans="4:4" x14ac:dyDescent="0.45">
      <c r="D7402" s="47"/>
    </row>
    <row r="7403" spans="4:4" x14ac:dyDescent="0.45">
      <c r="D7403" s="47"/>
    </row>
    <row r="7404" spans="4:4" x14ac:dyDescent="0.45">
      <c r="D7404" s="47"/>
    </row>
    <row r="7405" spans="4:4" x14ac:dyDescent="0.45">
      <c r="D7405" s="47"/>
    </row>
    <row r="7406" spans="4:4" x14ac:dyDescent="0.45">
      <c r="D7406" s="47"/>
    </row>
    <row r="7407" spans="4:4" x14ac:dyDescent="0.45">
      <c r="D7407" s="47"/>
    </row>
    <row r="7408" spans="4:4" x14ac:dyDescent="0.45">
      <c r="D7408" s="47"/>
    </row>
    <row r="7409" spans="4:4" x14ac:dyDescent="0.45">
      <c r="D7409" s="47"/>
    </row>
    <row r="7410" spans="4:4" x14ac:dyDescent="0.45">
      <c r="D7410" s="47"/>
    </row>
    <row r="7411" spans="4:4" x14ac:dyDescent="0.45">
      <c r="D7411" s="47"/>
    </row>
    <row r="7412" spans="4:4" x14ac:dyDescent="0.45">
      <c r="D7412" s="47"/>
    </row>
    <row r="7413" spans="4:4" x14ac:dyDescent="0.45">
      <c r="D7413" s="47"/>
    </row>
    <row r="7414" spans="4:4" x14ac:dyDescent="0.45">
      <c r="D7414" s="47"/>
    </row>
    <row r="7415" spans="4:4" x14ac:dyDescent="0.45">
      <c r="D7415" s="47"/>
    </row>
    <row r="7416" spans="4:4" x14ac:dyDescent="0.45">
      <c r="D7416" s="47"/>
    </row>
    <row r="7417" spans="4:4" x14ac:dyDescent="0.45">
      <c r="D7417" s="47"/>
    </row>
    <row r="7418" spans="4:4" x14ac:dyDescent="0.45">
      <c r="D7418" s="47"/>
    </row>
    <row r="7419" spans="4:4" x14ac:dyDescent="0.45">
      <c r="D7419" s="47"/>
    </row>
    <row r="7420" spans="4:4" x14ac:dyDescent="0.45">
      <c r="D7420" s="47"/>
    </row>
    <row r="7421" spans="4:4" x14ac:dyDescent="0.45">
      <c r="D7421" s="47"/>
    </row>
    <row r="7422" spans="4:4" x14ac:dyDescent="0.45">
      <c r="D7422" s="47"/>
    </row>
    <row r="7423" spans="4:4" x14ac:dyDescent="0.45">
      <c r="D7423" s="47"/>
    </row>
    <row r="7424" spans="4:4" x14ac:dyDescent="0.45">
      <c r="D7424" s="47"/>
    </row>
    <row r="7425" spans="4:4" x14ac:dyDescent="0.45">
      <c r="D7425" s="47"/>
    </row>
    <row r="7426" spans="4:4" x14ac:dyDescent="0.45">
      <c r="D7426" s="47"/>
    </row>
    <row r="7427" spans="4:4" x14ac:dyDescent="0.45">
      <c r="D7427" s="47"/>
    </row>
    <row r="7428" spans="4:4" x14ac:dyDescent="0.45">
      <c r="D7428" s="47"/>
    </row>
    <row r="7429" spans="4:4" x14ac:dyDescent="0.45">
      <c r="D7429" s="47"/>
    </row>
    <row r="7430" spans="4:4" x14ac:dyDescent="0.45">
      <c r="D7430" s="47"/>
    </row>
    <row r="7431" spans="4:4" x14ac:dyDescent="0.45">
      <c r="D7431" s="47"/>
    </row>
    <row r="7432" spans="4:4" x14ac:dyDescent="0.45">
      <c r="D7432" s="47"/>
    </row>
    <row r="7433" spans="4:4" x14ac:dyDescent="0.45">
      <c r="D7433" s="47"/>
    </row>
    <row r="7434" spans="4:4" x14ac:dyDescent="0.45">
      <c r="D7434" s="47"/>
    </row>
    <row r="7435" spans="4:4" x14ac:dyDescent="0.45">
      <c r="D7435" s="47"/>
    </row>
    <row r="7436" spans="4:4" x14ac:dyDescent="0.45">
      <c r="D7436" s="47"/>
    </row>
    <row r="7437" spans="4:4" x14ac:dyDescent="0.45">
      <c r="D7437" s="47"/>
    </row>
    <row r="7438" spans="4:4" x14ac:dyDescent="0.45">
      <c r="D7438" s="47"/>
    </row>
    <row r="7439" spans="4:4" x14ac:dyDescent="0.45">
      <c r="D7439" s="47"/>
    </row>
    <row r="7440" spans="4:4" x14ac:dyDescent="0.45">
      <c r="D7440" s="47"/>
    </row>
    <row r="7441" spans="4:4" x14ac:dyDescent="0.45">
      <c r="D7441" s="47"/>
    </row>
    <row r="7442" spans="4:4" x14ac:dyDescent="0.45">
      <c r="D7442" s="47"/>
    </row>
    <row r="7443" spans="4:4" x14ac:dyDescent="0.45">
      <c r="D7443" s="47"/>
    </row>
    <row r="7444" spans="4:4" x14ac:dyDescent="0.45">
      <c r="D7444" s="47"/>
    </row>
    <row r="7445" spans="4:4" x14ac:dyDescent="0.45">
      <c r="D7445" s="47"/>
    </row>
    <row r="7446" spans="4:4" x14ac:dyDescent="0.45">
      <c r="D7446" s="47"/>
    </row>
    <row r="7447" spans="4:4" x14ac:dyDescent="0.45">
      <c r="D7447" s="47"/>
    </row>
    <row r="7448" spans="4:4" x14ac:dyDescent="0.45">
      <c r="D7448" s="47"/>
    </row>
    <row r="7449" spans="4:4" x14ac:dyDescent="0.45">
      <c r="D7449" s="47"/>
    </row>
    <row r="7450" spans="4:4" x14ac:dyDescent="0.45">
      <c r="D7450" s="47"/>
    </row>
    <row r="7451" spans="4:4" x14ac:dyDescent="0.45">
      <c r="D7451" s="47"/>
    </row>
    <row r="7452" spans="4:4" x14ac:dyDescent="0.45">
      <c r="D7452" s="47"/>
    </row>
    <row r="7453" spans="4:4" x14ac:dyDescent="0.45">
      <c r="D7453" s="47"/>
    </row>
    <row r="7454" spans="4:4" x14ac:dyDescent="0.45">
      <c r="D7454" s="47"/>
    </row>
    <row r="7455" spans="4:4" x14ac:dyDescent="0.45">
      <c r="D7455" s="47"/>
    </row>
    <row r="7456" spans="4:4" x14ac:dyDescent="0.45">
      <c r="D7456" s="47"/>
    </row>
    <row r="7457" spans="4:4" x14ac:dyDescent="0.45">
      <c r="D7457" s="47"/>
    </row>
    <row r="7458" spans="4:4" x14ac:dyDescent="0.45">
      <c r="D7458" s="47"/>
    </row>
    <row r="7459" spans="4:4" x14ac:dyDescent="0.45">
      <c r="D7459" s="47"/>
    </row>
    <row r="7460" spans="4:4" x14ac:dyDescent="0.45">
      <c r="D7460" s="47"/>
    </row>
    <row r="7461" spans="4:4" x14ac:dyDescent="0.45">
      <c r="D7461" s="47"/>
    </row>
    <row r="7462" spans="4:4" x14ac:dyDescent="0.45">
      <c r="D7462" s="47"/>
    </row>
    <row r="7463" spans="4:4" x14ac:dyDescent="0.45">
      <c r="D7463" s="47"/>
    </row>
    <row r="7464" spans="4:4" x14ac:dyDescent="0.45">
      <c r="D7464" s="47"/>
    </row>
    <row r="7465" spans="4:4" x14ac:dyDescent="0.45">
      <c r="D7465" s="47"/>
    </row>
    <row r="7466" spans="4:4" x14ac:dyDescent="0.45">
      <c r="D7466" s="47"/>
    </row>
    <row r="7467" spans="4:4" x14ac:dyDescent="0.45">
      <c r="D7467" s="47"/>
    </row>
    <row r="7468" spans="4:4" x14ac:dyDescent="0.45">
      <c r="D7468" s="47"/>
    </row>
    <row r="7469" spans="4:4" x14ac:dyDescent="0.45">
      <c r="D7469" s="47"/>
    </row>
    <row r="7470" spans="4:4" x14ac:dyDescent="0.45">
      <c r="D7470" s="47"/>
    </row>
    <row r="7471" spans="4:4" x14ac:dyDescent="0.45">
      <c r="D7471" s="47"/>
    </row>
    <row r="7472" spans="4:4" x14ac:dyDescent="0.45">
      <c r="D7472" s="47"/>
    </row>
    <row r="7473" spans="4:4" x14ac:dyDescent="0.45">
      <c r="D7473" s="47"/>
    </row>
    <row r="7474" spans="4:4" x14ac:dyDescent="0.45">
      <c r="D7474" s="47"/>
    </row>
    <row r="7475" spans="4:4" x14ac:dyDescent="0.45">
      <c r="D7475" s="47"/>
    </row>
    <row r="7476" spans="4:4" x14ac:dyDescent="0.45">
      <c r="D7476" s="47"/>
    </row>
    <row r="7477" spans="4:4" x14ac:dyDescent="0.45">
      <c r="D7477" s="47"/>
    </row>
    <row r="7478" spans="4:4" x14ac:dyDescent="0.45">
      <c r="D7478" s="47"/>
    </row>
    <row r="7479" spans="4:4" x14ac:dyDescent="0.45">
      <c r="D7479" s="47"/>
    </row>
    <row r="7480" spans="4:4" x14ac:dyDescent="0.45">
      <c r="D7480" s="47"/>
    </row>
    <row r="7481" spans="4:4" x14ac:dyDescent="0.45">
      <c r="D7481" s="47"/>
    </row>
    <row r="7482" spans="4:4" x14ac:dyDescent="0.45">
      <c r="D7482" s="47"/>
    </row>
    <row r="7483" spans="4:4" x14ac:dyDescent="0.45">
      <c r="D7483" s="47"/>
    </row>
    <row r="7484" spans="4:4" x14ac:dyDescent="0.45">
      <c r="D7484" s="47"/>
    </row>
    <row r="7485" spans="4:4" x14ac:dyDescent="0.45">
      <c r="D7485" s="47"/>
    </row>
    <row r="7486" spans="4:4" x14ac:dyDescent="0.45">
      <c r="D7486" s="47"/>
    </row>
    <row r="7487" spans="4:4" x14ac:dyDescent="0.45">
      <c r="D7487" s="47"/>
    </row>
    <row r="7488" spans="4:4" x14ac:dyDescent="0.45">
      <c r="D7488" s="47"/>
    </row>
    <row r="7489" spans="4:4" x14ac:dyDescent="0.45">
      <c r="D7489" s="47"/>
    </row>
    <row r="7490" spans="4:4" x14ac:dyDescent="0.45">
      <c r="D7490" s="47"/>
    </row>
    <row r="7491" spans="4:4" x14ac:dyDescent="0.45">
      <c r="D7491" s="47"/>
    </row>
    <row r="7492" spans="4:4" x14ac:dyDescent="0.45">
      <c r="D7492" s="47"/>
    </row>
    <row r="7493" spans="4:4" x14ac:dyDescent="0.45">
      <c r="D7493" s="47"/>
    </row>
    <row r="7494" spans="4:4" x14ac:dyDescent="0.45">
      <c r="D7494" s="47"/>
    </row>
    <row r="7495" spans="4:4" x14ac:dyDescent="0.45">
      <c r="D7495" s="47"/>
    </row>
    <row r="7496" spans="4:4" x14ac:dyDescent="0.45">
      <c r="D7496" s="47"/>
    </row>
    <row r="7497" spans="4:4" x14ac:dyDescent="0.45">
      <c r="D7497" s="47"/>
    </row>
    <row r="7498" spans="4:4" x14ac:dyDescent="0.45">
      <c r="D7498" s="47"/>
    </row>
    <row r="7499" spans="4:4" x14ac:dyDescent="0.45">
      <c r="D7499" s="47"/>
    </row>
    <row r="7500" spans="4:4" x14ac:dyDescent="0.45">
      <c r="D7500" s="47"/>
    </row>
    <row r="7501" spans="4:4" x14ac:dyDescent="0.45">
      <c r="D7501" s="47"/>
    </row>
    <row r="7502" spans="4:4" x14ac:dyDescent="0.45">
      <c r="D7502" s="47"/>
    </row>
    <row r="7503" spans="4:4" x14ac:dyDescent="0.45">
      <c r="D7503" s="47"/>
    </row>
    <row r="7504" spans="4:4" x14ac:dyDescent="0.45">
      <c r="D7504" s="47"/>
    </row>
    <row r="7505" spans="4:4" x14ac:dyDescent="0.45">
      <c r="D7505" s="47"/>
    </row>
    <row r="7506" spans="4:4" x14ac:dyDescent="0.45">
      <c r="D7506" s="47"/>
    </row>
    <row r="7507" spans="4:4" x14ac:dyDescent="0.45">
      <c r="D7507" s="47"/>
    </row>
    <row r="7508" spans="4:4" x14ac:dyDescent="0.45">
      <c r="D7508" s="47"/>
    </row>
    <row r="7509" spans="4:4" x14ac:dyDescent="0.45">
      <c r="D7509" s="47"/>
    </row>
    <row r="7510" spans="4:4" x14ac:dyDescent="0.45">
      <c r="D7510" s="47"/>
    </row>
    <row r="7511" spans="4:4" x14ac:dyDescent="0.45">
      <c r="D7511" s="47"/>
    </row>
    <row r="7512" spans="4:4" x14ac:dyDescent="0.45">
      <c r="D7512" s="47"/>
    </row>
    <row r="7513" spans="4:4" x14ac:dyDescent="0.45">
      <c r="D7513" s="47"/>
    </row>
    <row r="7514" spans="4:4" x14ac:dyDescent="0.45">
      <c r="D7514" s="47"/>
    </row>
    <row r="7515" spans="4:4" x14ac:dyDescent="0.45">
      <c r="D7515" s="47"/>
    </row>
    <row r="7516" spans="4:4" x14ac:dyDescent="0.45">
      <c r="D7516" s="47"/>
    </row>
    <row r="7517" spans="4:4" x14ac:dyDescent="0.45">
      <c r="D7517" s="47"/>
    </row>
    <row r="7518" spans="4:4" x14ac:dyDescent="0.45">
      <c r="D7518" s="47"/>
    </row>
    <row r="7519" spans="4:4" x14ac:dyDescent="0.45">
      <c r="D7519" s="47"/>
    </row>
    <row r="7520" spans="4:4" x14ac:dyDescent="0.45">
      <c r="D7520" s="47"/>
    </row>
    <row r="7521" spans="4:4" x14ac:dyDescent="0.45">
      <c r="D7521" s="47"/>
    </row>
    <row r="7522" spans="4:4" x14ac:dyDescent="0.45">
      <c r="D7522" s="47"/>
    </row>
    <row r="7523" spans="4:4" x14ac:dyDescent="0.45">
      <c r="D7523" s="47"/>
    </row>
    <row r="7524" spans="4:4" x14ac:dyDescent="0.45">
      <c r="D7524" s="47"/>
    </row>
    <row r="7525" spans="4:4" x14ac:dyDescent="0.45">
      <c r="D7525" s="47"/>
    </row>
    <row r="7526" spans="4:4" x14ac:dyDescent="0.45">
      <c r="D7526" s="47"/>
    </row>
    <row r="7527" spans="4:4" x14ac:dyDescent="0.45">
      <c r="D7527" s="47"/>
    </row>
    <row r="7528" spans="4:4" x14ac:dyDescent="0.45">
      <c r="D7528" s="47"/>
    </row>
    <row r="7529" spans="4:4" x14ac:dyDescent="0.45">
      <c r="D7529" s="47"/>
    </row>
    <row r="7530" spans="4:4" x14ac:dyDescent="0.45">
      <c r="D7530" s="47"/>
    </row>
    <row r="7531" spans="4:4" x14ac:dyDescent="0.45">
      <c r="D7531" s="47"/>
    </row>
    <row r="7532" spans="4:4" x14ac:dyDescent="0.45">
      <c r="D7532" s="47"/>
    </row>
    <row r="7533" spans="4:4" x14ac:dyDescent="0.45">
      <c r="D7533" s="47"/>
    </row>
    <row r="7534" spans="4:4" x14ac:dyDescent="0.45">
      <c r="D7534" s="47"/>
    </row>
    <row r="7535" spans="4:4" x14ac:dyDescent="0.45">
      <c r="D7535" s="47"/>
    </row>
    <row r="7536" spans="4:4" x14ac:dyDescent="0.45">
      <c r="D7536" s="47"/>
    </row>
    <row r="7537" spans="4:4" x14ac:dyDescent="0.45">
      <c r="D7537" s="47"/>
    </row>
    <row r="7538" spans="4:4" x14ac:dyDescent="0.45">
      <c r="D7538" s="47"/>
    </row>
    <row r="7539" spans="4:4" x14ac:dyDescent="0.45">
      <c r="D7539" s="47"/>
    </row>
    <row r="7540" spans="4:4" x14ac:dyDescent="0.45">
      <c r="D7540" s="47"/>
    </row>
    <row r="7541" spans="4:4" x14ac:dyDescent="0.45">
      <c r="D7541" s="47"/>
    </row>
    <row r="7542" spans="4:4" x14ac:dyDescent="0.45">
      <c r="D7542" s="47"/>
    </row>
    <row r="7543" spans="4:4" x14ac:dyDescent="0.45">
      <c r="D7543" s="47"/>
    </row>
    <row r="7544" spans="4:4" x14ac:dyDescent="0.45">
      <c r="D7544" s="47"/>
    </row>
    <row r="7545" spans="4:4" x14ac:dyDescent="0.45">
      <c r="D7545" s="47"/>
    </row>
    <row r="7546" spans="4:4" x14ac:dyDescent="0.45">
      <c r="D7546" s="47"/>
    </row>
    <row r="7547" spans="4:4" x14ac:dyDescent="0.45">
      <c r="D7547" s="47"/>
    </row>
    <row r="7548" spans="4:4" x14ac:dyDescent="0.45">
      <c r="D7548" s="47"/>
    </row>
    <row r="7549" spans="4:4" x14ac:dyDescent="0.45">
      <c r="D7549" s="47"/>
    </row>
    <row r="7550" spans="4:4" x14ac:dyDescent="0.45">
      <c r="D7550" s="47"/>
    </row>
    <row r="7551" spans="4:4" x14ac:dyDescent="0.45">
      <c r="D7551" s="47"/>
    </row>
    <row r="7552" spans="4:4" x14ac:dyDescent="0.45">
      <c r="D7552" s="47"/>
    </row>
    <row r="7553" spans="4:4" x14ac:dyDescent="0.45">
      <c r="D7553" s="47"/>
    </row>
    <row r="7554" spans="4:4" x14ac:dyDescent="0.45">
      <c r="D7554" s="47"/>
    </row>
    <row r="7555" spans="4:4" x14ac:dyDescent="0.45">
      <c r="D7555" s="47"/>
    </row>
    <row r="7556" spans="4:4" x14ac:dyDescent="0.45">
      <c r="D7556" s="47"/>
    </row>
    <row r="7557" spans="4:4" x14ac:dyDescent="0.45">
      <c r="D7557" s="47"/>
    </row>
    <row r="7558" spans="4:4" x14ac:dyDescent="0.45">
      <c r="D7558" s="47"/>
    </row>
    <row r="7559" spans="4:4" x14ac:dyDescent="0.45">
      <c r="D7559" s="47"/>
    </row>
    <row r="7560" spans="4:4" x14ac:dyDescent="0.45">
      <c r="D7560" s="47"/>
    </row>
    <row r="7561" spans="4:4" x14ac:dyDescent="0.45">
      <c r="D7561" s="47"/>
    </row>
    <row r="7562" spans="4:4" x14ac:dyDescent="0.45">
      <c r="D7562" s="47"/>
    </row>
    <row r="7563" spans="4:4" x14ac:dyDescent="0.45">
      <c r="D7563" s="47"/>
    </row>
    <row r="7564" spans="4:4" x14ac:dyDescent="0.45">
      <c r="D7564" s="47"/>
    </row>
    <row r="7565" spans="4:4" x14ac:dyDescent="0.45">
      <c r="D7565" s="47"/>
    </row>
    <row r="7566" spans="4:4" x14ac:dyDescent="0.45">
      <c r="D7566" s="47"/>
    </row>
    <row r="7567" spans="4:4" x14ac:dyDescent="0.45">
      <c r="D7567" s="47"/>
    </row>
    <row r="7568" spans="4:4" x14ac:dyDescent="0.45">
      <c r="D7568" s="47"/>
    </row>
    <row r="7569" spans="4:4" x14ac:dyDescent="0.45">
      <c r="D7569" s="47"/>
    </row>
    <row r="7570" spans="4:4" x14ac:dyDescent="0.45">
      <c r="D7570" s="47"/>
    </row>
    <row r="7571" spans="4:4" x14ac:dyDescent="0.45">
      <c r="D7571" s="47"/>
    </row>
    <row r="7572" spans="4:4" x14ac:dyDescent="0.45">
      <c r="D7572" s="47"/>
    </row>
    <row r="7573" spans="4:4" x14ac:dyDescent="0.45">
      <c r="D7573" s="47"/>
    </row>
    <row r="7574" spans="4:4" x14ac:dyDescent="0.45">
      <c r="D7574" s="47"/>
    </row>
    <row r="7575" spans="4:4" x14ac:dyDescent="0.45">
      <c r="D7575" s="47"/>
    </row>
    <row r="7576" spans="4:4" x14ac:dyDescent="0.45">
      <c r="D7576" s="47"/>
    </row>
    <row r="7577" spans="4:4" x14ac:dyDescent="0.45">
      <c r="D7577" s="47"/>
    </row>
    <row r="7578" spans="4:4" x14ac:dyDescent="0.45">
      <c r="D7578" s="47"/>
    </row>
    <row r="7579" spans="4:4" x14ac:dyDescent="0.45">
      <c r="D7579" s="47"/>
    </row>
    <row r="7580" spans="4:4" x14ac:dyDescent="0.45">
      <c r="D7580" s="47"/>
    </row>
    <row r="7581" spans="4:4" x14ac:dyDescent="0.45">
      <c r="D7581" s="47"/>
    </row>
    <row r="7582" spans="4:4" x14ac:dyDescent="0.45">
      <c r="D7582" s="47"/>
    </row>
    <row r="7583" spans="4:4" x14ac:dyDescent="0.45">
      <c r="D7583" s="47"/>
    </row>
    <row r="7584" spans="4:4" x14ac:dyDescent="0.45">
      <c r="D7584" s="47"/>
    </row>
    <row r="7585" spans="4:4" x14ac:dyDescent="0.45">
      <c r="D7585" s="47"/>
    </row>
    <row r="7586" spans="4:4" x14ac:dyDescent="0.45">
      <c r="D7586" s="47"/>
    </row>
    <row r="7587" spans="4:4" x14ac:dyDescent="0.45">
      <c r="D7587" s="47"/>
    </row>
    <row r="7588" spans="4:4" x14ac:dyDescent="0.45">
      <c r="D7588" s="47"/>
    </row>
    <row r="7589" spans="4:4" x14ac:dyDescent="0.45">
      <c r="D7589" s="47"/>
    </row>
    <row r="7590" spans="4:4" x14ac:dyDescent="0.45">
      <c r="D7590" s="47"/>
    </row>
    <row r="7591" spans="4:4" x14ac:dyDescent="0.45">
      <c r="D7591" s="47"/>
    </row>
    <row r="7592" spans="4:4" x14ac:dyDescent="0.45">
      <c r="D7592" s="47"/>
    </row>
    <row r="7593" spans="4:4" x14ac:dyDescent="0.45">
      <c r="D7593" s="47"/>
    </row>
    <row r="7594" spans="4:4" x14ac:dyDescent="0.45">
      <c r="D7594" s="47"/>
    </row>
    <row r="7595" spans="4:4" x14ac:dyDescent="0.45">
      <c r="D7595" s="47"/>
    </row>
    <row r="7596" spans="4:4" x14ac:dyDescent="0.45">
      <c r="D7596" s="47"/>
    </row>
    <row r="7597" spans="4:4" x14ac:dyDescent="0.45">
      <c r="D7597" s="47"/>
    </row>
    <row r="7598" spans="4:4" x14ac:dyDescent="0.45">
      <c r="D7598" s="47"/>
    </row>
    <row r="7599" spans="4:4" x14ac:dyDescent="0.45">
      <c r="D7599" s="47"/>
    </row>
    <row r="7600" spans="4:4" x14ac:dyDescent="0.45">
      <c r="D7600" s="47"/>
    </row>
    <row r="7601" spans="4:4" x14ac:dyDescent="0.45">
      <c r="D7601" s="47"/>
    </row>
    <row r="7602" spans="4:4" x14ac:dyDescent="0.45">
      <c r="D7602" s="47"/>
    </row>
    <row r="7603" spans="4:4" x14ac:dyDescent="0.45">
      <c r="D7603" s="47"/>
    </row>
    <row r="7604" spans="4:4" x14ac:dyDescent="0.45">
      <c r="D7604" s="47"/>
    </row>
    <row r="7605" spans="4:4" x14ac:dyDescent="0.45">
      <c r="D7605" s="47"/>
    </row>
    <row r="7606" spans="4:4" x14ac:dyDescent="0.45">
      <c r="D7606" s="47"/>
    </row>
    <row r="7607" spans="4:4" x14ac:dyDescent="0.45">
      <c r="D7607" s="47"/>
    </row>
    <row r="7608" spans="4:4" x14ac:dyDescent="0.45">
      <c r="D7608" s="47"/>
    </row>
    <row r="7609" spans="4:4" x14ac:dyDescent="0.45">
      <c r="D7609" s="47"/>
    </row>
    <row r="7610" spans="4:4" x14ac:dyDescent="0.45">
      <c r="D7610" s="47"/>
    </row>
    <row r="7611" spans="4:4" x14ac:dyDescent="0.45">
      <c r="D7611" s="47"/>
    </row>
    <row r="7612" spans="4:4" x14ac:dyDescent="0.45">
      <c r="D7612" s="47"/>
    </row>
    <row r="7613" spans="4:4" x14ac:dyDescent="0.45">
      <c r="D7613" s="47"/>
    </row>
    <row r="7614" spans="4:4" x14ac:dyDescent="0.45">
      <c r="D7614" s="47"/>
    </row>
    <row r="7615" spans="4:4" x14ac:dyDescent="0.45">
      <c r="D7615" s="47"/>
    </row>
    <row r="7616" spans="4:4" x14ac:dyDescent="0.45">
      <c r="D7616" s="47"/>
    </row>
    <row r="7617" spans="4:4" x14ac:dyDescent="0.45">
      <c r="D7617" s="47"/>
    </row>
    <row r="7618" spans="4:4" x14ac:dyDescent="0.45">
      <c r="D7618" s="47"/>
    </row>
    <row r="7619" spans="4:4" x14ac:dyDescent="0.45">
      <c r="D7619" s="47"/>
    </row>
    <row r="7620" spans="4:4" x14ac:dyDescent="0.45">
      <c r="D7620" s="47"/>
    </row>
    <row r="7621" spans="4:4" x14ac:dyDescent="0.45">
      <c r="D7621" s="47"/>
    </row>
    <row r="7622" spans="4:4" x14ac:dyDescent="0.45">
      <c r="D7622" s="47"/>
    </row>
    <row r="7623" spans="4:4" x14ac:dyDescent="0.45">
      <c r="D7623" s="47"/>
    </row>
    <row r="7624" spans="4:4" x14ac:dyDescent="0.45">
      <c r="D7624" s="47"/>
    </row>
    <row r="7625" spans="4:4" x14ac:dyDescent="0.45">
      <c r="D7625" s="47"/>
    </row>
    <row r="7626" spans="4:4" x14ac:dyDescent="0.45">
      <c r="D7626" s="47"/>
    </row>
    <row r="7627" spans="4:4" x14ac:dyDescent="0.45">
      <c r="D7627" s="47"/>
    </row>
    <row r="7628" spans="4:4" x14ac:dyDescent="0.45">
      <c r="D7628" s="47"/>
    </row>
    <row r="7629" spans="4:4" x14ac:dyDescent="0.45">
      <c r="D7629" s="47"/>
    </row>
    <row r="7630" spans="4:4" x14ac:dyDescent="0.45">
      <c r="D7630" s="47"/>
    </row>
    <row r="7631" spans="4:4" x14ac:dyDescent="0.45">
      <c r="D7631" s="47"/>
    </row>
    <row r="7632" spans="4:4" x14ac:dyDescent="0.45">
      <c r="D7632" s="47"/>
    </row>
    <row r="7633" spans="4:4" x14ac:dyDescent="0.45">
      <c r="D7633" s="47"/>
    </row>
    <row r="7634" spans="4:4" x14ac:dyDescent="0.45">
      <c r="D7634" s="47"/>
    </row>
    <row r="7635" spans="4:4" x14ac:dyDescent="0.45">
      <c r="D7635" s="47"/>
    </row>
    <row r="7636" spans="4:4" x14ac:dyDescent="0.45">
      <c r="D7636" s="47"/>
    </row>
    <row r="7637" spans="4:4" x14ac:dyDescent="0.45">
      <c r="D7637" s="47"/>
    </row>
    <row r="7638" spans="4:4" x14ac:dyDescent="0.45">
      <c r="D7638" s="47"/>
    </row>
    <row r="7639" spans="4:4" x14ac:dyDescent="0.45">
      <c r="D7639" s="47"/>
    </row>
    <row r="7640" spans="4:4" x14ac:dyDescent="0.45">
      <c r="D7640" s="47"/>
    </row>
    <row r="7641" spans="4:4" x14ac:dyDescent="0.45">
      <c r="D7641" s="47"/>
    </row>
    <row r="7642" spans="4:4" x14ac:dyDescent="0.45">
      <c r="D7642" s="47"/>
    </row>
    <row r="7643" spans="4:4" x14ac:dyDescent="0.45">
      <c r="D7643" s="47"/>
    </row>
    <row r="7644" spans="4:4" x14ac:dyDescent="0.45">
      <c r="D7644" s="47"/>
    </row>
    <row r="7645" spans="4:4" x14ac:dyDescent="0.45">
      <c r="D7645" s="47"/>
    </row>
    <row r="7646" spans="4:4" x14ac:dyDescent="0.45">
      <c r="D7646" s="47"/>
    </row>
    <row r="7647" spans="4:4" x14ac:dyDescent="0.45">
      <c r="D7647" s="47"/>
    </row>
    <row r="7648" spans="4:4" x14ac:dyDescent="0.45">
      <c r="D7648" s="47"/>
    </row>
    <row r="7649" spans="4:4" x14ac:dyDescent="0.45">
      <c r="D7649" s="47"/>
    </row>
    <row r="7650" spans="4:4" x14ac:dyDescent="0.45">
      <c r="D7650" s="47"/>
    </row>
    <row r="7651" spans="4:4" x14ac:dyDescent="0.45">
      <c r="D7651" s="47"/>
    </row>
    <row r="7652" spans="4:4" x14ac:dyDescent="0.45">
      <c r="D7652" s="47"/>
    </row>
    <row r="7653" spans="4:4" x14ac:dyDescent="0.45">
      <c r="D7653" s="47"/>
    </row>
    <row r="7654" spans="4:4" x14ac:dyDescent="0.45">
      <c r="D7654" s="47"/>
    </row>
    <row r="7655" spans="4:4" x14ac:dyDescent="0.45">
      <c r="D7655" s="47"/>
    </row>
    <row r="7656" spans="4:4" x14ac:dyDescent="0.45">
      <c r="D7656" s="47"/>
    </row>
    <row r="7657" spans="4:4" x14ac:dyDescent="0.45">
      <c r="D7657" s="47"/>
    </row>
    <row r="7658" spans="4:4" x14ac:dyDescent="0.45">
      <c r="D7658" s="47"/>
    </row>
    <row r="7659" spans="4:4" x14ac:dyDescent="0.45">
      <c r="D7659" s="47"/>
    </row>
    <row r="7660" spans="4:4" x14ac:dyDescent="0.45">
      <c r="D7660" s="47"/>
    </row>
    <row r="7661" spans="4:4" x14ac:dyDescent="0.45">
      <c r="D7661" s="47"/>
    </row>
    <row r="7662" spans="4:4" x14ac:dyDescent="0.45">
      <c r="D7662" s="47"/>
    </row>
    <row r="7663" spans="4:4" x14ac:dyDescent="0.45">
      <c r="D7663" s="47"/>
    </row>
    <row r="7664" spans="4:4" x14ac:dyDescent="0.45">
      <c r="D7664" s="47"/>
    </row>
    <row r="7665" spans="4:4" x14ac:dyDescent="0.45">
      <c r="D7665" s="47"/>
    </row>
    <row r="7666" spans="4:4" x14ac:dyDescent="0.45">
      <c r="D7666" s="47"/>
    </row>
    <row r="7667" spans="4:4" x14ac:dyDescent="0.45">
      <c r="D7667" s="47"/>
    </row>
    <row r="7668" spans="4:4" x14ac:dyDescent="0.45">
      <c r="D7668" s="47"/>
    </row>
    <row r="7669" spans="4:4" x14ac:dyDescent="0.45">
      <c r="D7669" s="47"/>
    </row>
    <row r="7670" spans="4:4" x14ac:dyDescent="0.45">
      <c r="D7670" s="47"/>
    </row>
    <row r="7671" spans="4:4" x14ac:dyDescent="0.45">
      <c r="D7671" s="47"/>
    </row>
    <row r="7672" spans="4:4" x14ac:dyDescent="0.45">
      <c r="D7672" s="47"/>
    </row>
    <row r="7673" spans="4:4" x14ac:dyDescent="0.45">
      <c r="D7673" s="47"/>
    </row>
    <row r="7674" spans="4:4" x14ac:dyDescent="0.45">
      <c r="D7674" s="47"/>
    </row>
    <row r="7675" spans="4:4" x14ac:dyDescent="0.45">
      <c r="D7675" s="47"/>
    </row>
    <row r="7676" spans="4:4" x14ac:dyDescent="0.45">
      <c r="D7676" s="47"/>
    </row>
    <row r="7677" spans="4:4" x14ac:dyDescent="0.45">
      <c r="D7677" s="47"/>
    </row>
    <row r="7678" spans="4:4" x14ac:dyDescent="0.45">
      <c r="D7678" s="47"/>
    </row>
    <row r="7679" spans="4:4" x14ac:dyDescent="0.45">
      <c r="D7679" s="47"/>
    </row>
    <row r="7680" spans="4:4" x14ac:dyDescent="0.45">
      <c r="D7680" s="47"/>
    </row>
    <row r="7681" spans="4:4" x14ac:dyDescent="0.45">
      <c r="D7681" s="47"/>
    </row>
    <row r="7682" spans="4:4" x14ac:dyDescent="0.45">
      <c r="D7682" s="47"/>
    </row>
    <row r="7683" spans="4:4" x14ac:dyDescent="0.45">
      <c r="D7683" s="47"/>
    </row>
    <row r="7684" spans="4:4" x14ac:dyDescent="0.45">
      <c r="D7684" s="47"/>
    </row>
    <row r="7685" spans="4:4" x14ac:dyDescent="0.45">
      <c r="D7685" s="47"/>
    </row>
    <row r="7686" spans="4:4" x14ac:dyDescent="0.45">
      <c r="D7686" s="47"/>
    </row>
    <row r="7687" spans="4:4" x14ac:dyDescent="0.45">
      <c r="D7687" s="47"/>
    </row>
    <row r="7688" spans="4:4" x14ac:dyDescent="0.45">
      <c r="D7688" s="47"/>
    </row>
    <row r="7689" spans="4:4" x14ac:dyDescent="0.45">
      <c r="D7689" s="47"/>
    </row>
    <row r="7690" spans="4:4" x14ac:dyDescent="0.45">
      <c r="D7690" s="47"/>
    </row>
    <row r="7691" spans="4:4" x14ac:dyDescent="0.45">
      <c r="D7691" s="47"/>
    </row>
    <row r="7692" spans="4:4" x14ac:dyDescent="0.45">
      <c r="D7692" s="47"/>
    </row>
    <row r="7693" spans="4:4" x14ac:dyDescent="0.45">
      <c r="D7693" s="47"/>
    </row>
    <row r="7694" spans="4:4" x14ac:dyDescent="0.45">
      <c r="D7694" s="47"/>
    </row>
    <row r="7695" spans="4:4" x14ac:dyDescent="0.45">
      <c r="D7695" s="47"/>
    </row>
    <row r="7696" spans="4:4" x14ac:dyDescent="0.45">
      <c r="D7696" s="47"/>
    </row>
    <row r="7697" spans="4:4" x14ac:dyDescent="0.45">
      <c r="D7697" s="47"/>
    </row>
    <row r="7698" spans="4:4" x14ac:dyDescent="0.45">
      <c r="D7698" s="47"/>
    </row>
    <row r="7699" spans="4:4" x14ac:dyDescent="0.45">
      <c r="D7699" s="47"/>
    </row>
    <row r="7700" spans="4:4" x14ac:dyDescent="0.45">
      <c r="D7700" s="47"/>
    </row>
    <row r="7701" spans="4:4" x14ac:dyDescent="0.45">
      <c r="D7701" s="47"/>
    </row>
    <row r="7702" spans="4:4" x14ac:dyDescent="0.45">
      <c r="D7702" s="47"/>
    </row>
    <row r="7703" spans="4:4" x14ac:dyDescent="0.45">
      <c r="D7703" s="47"/>
    </row>
    <row r="7704" spans="4:4" x14ac:dyDescent="0.45">
      <c r="D7704" s="47"/>
    </row>
    <row r="7705" spans="4:4" x14ac:dyDescent="0.45">
      <c r="D7705" s="47"/>
    </row>
    <row r="7706" spans="4:4" x14ac:dyDescent="0.45">
      <c r="D7706" s="47"/>
    </row>
    <row r="7707" spans="4:4" x14ac:dyDescent="0.45">
      <c r="D7707" s="47"/>
    </row>
    <row r="7708" spans="4:4" x14ac:dyDescent="0.45">
      <c r="D7708" s="47"/>
    </row>
    <row r="7709" spans="4:4" x14ac:dyDescent="0.45">
      <c r="D7709" s="47"/>
    </row>
    <row r="7710" spans="4:4" x14ac:dyDescent="0.45">
      <c r="D7710" s="47"/>
    </row>
    <row r="7711" spans="4:4" x14ac:dyDescent="0.45">
      <c r="D7711" s="47"/>
    </row>
    <row r="7712" spans="4:4" x14ac:dyDescent="0.45">
      <c r="D7712" s="47"/>
    </row>
    <row r="7713" spans="4:4" x14ac:dyDescent="0.45">
      <c r="D7713" s="47"/>
    </row>
    <row r="7714" spans="4:4" x14ac:dyDescent="0.45">
      <c r="D7714" s="47"/>
    </row>
    <row r="7715" spans="4:4" x14ac:dyDescent="0.45">
      <c r="D7715" s="47"/>
    </row>
    <row r="7716" spans="4:4" x14ac:dyDescent="0.45">
      <c r="D7716" s="47"/>
    </row>
    <row r="7717" spans="4:4" x14ac:dyDescent="0.45">
      <c r="D7717" s="47"/>
    </row>
    <row r="7718" spans="4:4" x14ac:dyDescent="0.45">
      <c r="D7718" s="47"/>
    </row>
    <row r="7719" spans="4:4" x14ac:dyDescent="0.45">
      <c r="D7719" s="47"/>
    </row>
    <row r="7720" spans="4:4" x14ac:dyDescent="0.45">
      <c r="D7720" s="47"/>
    </row>
    <row r="7721" spans="4:4" x14ac:dyDescent="0.45">
      <c r="D7721" s="47"/>
    </row>
    <row r="7722" spans="4:4" x14ac:dyDescent="0.45">
      <c r="D7722" s="47"/>
    </row>
    <row r="7723" spans="4:4" x14ac:dyDescent="0.45">
      <c r="D7723" s="47"/>
    </row>
    <row r="7724" spans="4:4" x14ac:dyDescent="0.45">
      <c r="D7724" s="47"/>
    </row>
    <row r="7725" spans="4:4" x14ac:dyDescent="0.45">
      <c r="D7725" s="47"/>
    </row>
    <row r="7726" spans="4:4" x14ac:dyDescent="0.45">
      <c r="D7726" s="47"/>
    </row>
    <row r="7727" spans="4:4" x14ac:dyDescent="0.45">
      <c r="D7727" s="47"/>
    </row>
    <row r="7728" spans="4:4" x14ac:dyDescent="0.45">
      <c r="D7728" s="47"/>
    </row>
    <row r="7729" spans="4:4" x14ac:dyDescent="0.45">
      <c r="D7729" s="47"/>
    </row>
    <row r="7730" spans="4:4" x14ac:dyDescent="0.45">
      <c r="D7730" s="47"/>
    </row>
    <row r="7731" spans="4:4" x14ac:dyDescent="0.45">
      <c r="D7731" s="47"/>
    </row>
    <row r="7732" spans="4:4" x14ac:dyDescent="0.45">
      <c r="D7732" s="47"/>
    </row>
    <row r="7733" spans="4:4" x14ac:dyDescent="0.45">
      <c r="D7733" s="47"/>
    </row>
    <row r="7734" spans="4:4" x14ac:dyDescent="0.45">
      <c r="D7734" s="47"/>
    </row>
    <row r="7735" spans="4:4" x14ac:dyDescent="0.45">
      <c r="D7735" s="47"/>
    </row>
    <row r="7736" spans="4:4" x14ac:dyDescent="0.45">
      <c r="D7736" s="47"/>
    </row>
    <row r="7737" spans="4:4" x14ac:dyDescent="0.45">
      <c r="D7737" s="47"/>
    </row>
    <row r="7738" spans="4:4" x14ac:dyDescent="0.45">
      <c r="D7738" s="47"/>
    </row>
    <row r="7739" spans="4:4" x14ac:dyDescent="0.45">
      <c r="D7739" s="47"/>
    </row>
    <row r="7740" spans="4:4" x14ac:dyDescent="0.45">
      <c r="D7740" s="47"/>
    </row>
    <row r="7741" spans="4:4" x14ac:dyDescent="0.45">
      <c r="D7741" s="47"/>
    </row>
    <row r="7742" spans="4:4" x14ac:dyDescent="0.45">
      <c r="D7742" s="47"/>
    </row>
    <row r="7743" spans="4:4" x14ac:dyDescent="0.45">
      <c r="D7743" s="47"/>
    </row>
    <row r="7744" spans="4:4" x14ac:dyDescent="0.45">
      <c r="D7744" s="47"/>
    </row>
    <row r="7745" spans="4:4" x14ac:dyDescent="0.45">
      <c r="D7745" s="47"/>
    </row>
    <row r="7746" spans="4:4" x14ac:dyDescent="0.45">
      <c r="D7746" s="47"/>
    </row>
    <row r="7747" spans="4:4" x14ac:dyDescent="0.45">
      <c r="D7747" s="47"/>
    </row>
    <row r="7748" spans="4:4" x14ac:dyDescent="0.45">
      <c r="D7748" s="47"/>
    </row>
    <row r="7749" spans="4:4" x14ac:dyDescent="0.45">
      <c r="D7749" s="47"/>
    </row>
    <row r="7750" spans="4:4" x14ac:dyDescent="0.45">
      <c r="D7750" s="47"/>
    </row>
    <row r="7751" spans="4:4" x14ac:dyDescent="0.45">
      <c r="D7751" s="47"/>
    </row>
    <row r="7752" spans="4:4" x14ac:dyDescent="0.45">
      <c r="D7752" s="47"/>
    </row>
    <row r="7753" spans="4:4" x14ac:dyDescent="0.45">
      <c r="D7753" s="47"/>
    </row>
    <row r="7754" spans="4:4" x14ac:dyDescent="0.45">
      <c r="D7754" s="47"/>
    </row>
    <row r="7755" spans="4:4" x14ac:dyDescent="0.45">
      <c r="D7755" s="47"/>
    </row>
    <row r="7756" spans="4:4" x14ac:dyDescent="0.45">
      <c r="D7756" s="47"/>
    </row>
    <row r="7757" spans="4:4" x14ac:dyDescent="0.45">
      <c r="D7757" s="47"/>
    </row>
    <row r="7758" spans="4:4" x14ac:dyDescent="0.45">
      <c r="D7758" s="47"/>
    </row>
    <row r="7759" spans="4:4" x14ac:dyDescent="0.45">
      <c r="D7759" s="47"/>
    </row>
    <row r="7760" spans="4:4" x14ac:dyDescent="0.45">
      <c r="D7760" s="47"/>
    </row>
    <row r="7761" spans="4:4" x14ac:dyDescent="0.45">
      <c r="D7761" s="47"/>
    </row>
    <row r="7762" spans="4:4" x14ac:dyDescent="0.45">
      <c r="D7762" s="47"/>
    </row>
    <row r="7763" spans="4:4" x14ac:dyDescent="0.45">
      <c r="D7763" s="47"/>
    </row>
    <row r="7764" spans="4:4" x14ac:dyDescent="0.45">
      <c r="D7764" s="47"/>
    </row>
    <row r="7765" spans="4:4" x14ac:dyDescent="0.45">
      <c r="D7765" s="47"/>
    </row>
    <row r="7766" spans="4:4" x14ac:dyDescent="0.45">
      <c r="D7766" s="47"/>
    </row>
    <row r="7767" spans="4:4" x14ac:dyDescent="0.45">
      <c r="D7767" s="47"/>
    </row>
    <row r="7768" spans="4:4" x14ac:dyDescent="0.45">
      <c r="D7768" s="47"/>
    </row>
    <row r="7769" spans="4:4" x14ac:dyDescent="0.45">
      <c r="D7769" s="47"/>
    </row>
    <row r="7770" spans="4:4" x14ac:dyDescent="0.45">
      <c r="D7770" s="47"/>
    </row>
    <row r="7771" spans="4:4" x14ac:dyDescent="0.45">
      <c r="D7771" s="47"/>
    </row>
    <row r="7772" spans="4:4" x14ac:dyDescent="0.45">
      <c r="D7772" s="47"/>
    </row>
    <row r="7773" spans="4:4" x14ac:dyDescent="0.45">
      <c r="D7773" s="47"/>
    </row>
    <row r="7774" spans="4:4" x14ac:dyDescent="0.45">
      <c r="D7774" s="47"/>
    </row>
    <row r="7775" spans="4:4" x14ac:dyDescent="0.45">
      <c r="D7775" s="47"/>
    </row>
    <row r="7776" spans="4:4" x14ac:dyDescent="0.45">
      <c r="D7776" s="47"/>
    </row>
    <row r="7777" spans="4:4" x14ac:dyDescent="0.45">
      <c r="D7777" s="47"/>
    </row>
    <row r="7778" spans="4:4" x14ac:dyDescent="0.45">
      <c r="D7778" s="47"/>
    </row>
    <row r="7779" spans="4:4" x14ac:dyDescent="0.45">
      <c r="D7779" s="47"/>
    </row>
    <row r="7780" spans="4:4" x14ac:dyDescent="0.45">
      <c r="D7780" s="47"/>
    </row>
    <row r="7781" spans="4:4" x14ac:dyDescent="0.45">
      <c r="D7781" s="47"/>
    </row>
    <row r="7782" spans="4:4" x14ac:dyDescent="0.45">
      <c r="D7782" s="47"/>
    </row>
    <row r="7783" spans="4:4" x14ac:dyDescent="0.45">
      <c r="D7783" s="47"/>
    </row>
    <row r="7784" spans="4:4" x14ac:dyDescent="0.45">
      <c r="D7784" s="47"/>
    </row>
    <row r="7785" spans="4:4" x14ac:dyDescent="0.45">
      <c r="D7785" s="47"/>
    </row>
    <row r="7786" spans="4:4" x14ac:dyDescent="0.45">
      <c r="D7786" s="47"/>
    </row>
    <row r="7787" spans="4:4" x14ac:dyDescent="0.45">
      <c r="D7787" s="47"/>
    </row>
    <row r="7788" spans="4:4" x14ac:dyDescent="0.45">
      <c r="D7788" s="47"/>
    </row>
    <row r="7789" spans="4:4" x14ac:dyDescent="0.45">
      <c r="D7789" s="47"/>
    </row>
    <row r="7790" spans="4:4" x14ac:dyDescent="0.45">
      <c r="D7790" s="47"/>
    </row>
    <row r="7791" spans="4:4" x14ac:dyDescent="0.45">
      <c r="D7791" s="47"/>
    </row>
    <row r="7792" spans="4:4" x14ac:dyDescent="0.45">
      <c r="D7792" s="47"/>
    </row>
    <row r="7793" spans="4:4" x14ac:dyDescent="0.45">
      <c r="D7793" s="47"/>
    </row>
    <row r="7794" spans="4:4" x14ac:dyDescent="0.45">
      <c r="D7794" s="47"/>
    </row>
    <row r="7795" spans="4:4" x14ac:dyDescent="0.45">
      <c r="D7795" s="47"/>
    </row>
    <row r="7796" spans="4:4" x14ac:dyDescent="0.45">
      <c r="D7796" s="47"/>
    </row>
    <row r="7797" spans="4:4" x14ac:dyDescent="0.45">
      <c r="D7797" s="47"/>
    </row>
    <row r="7798" spans="4:4" x14ac:dyDescent="0.45">
      <c r="D7798" s="47"/>
    </row>
    <row r="7799" spans="4:4" x14ac:dyDescent="0.45">
      <c r="D7799" s="47"/>
    </row>
    <row r="7800" spans="4:4" x14ac:dyDescent="0.45">
      <c r="D7800" s="47"/>
    </row>
    <row r="7801" spans="4:4" x14ac:dyDescent="0.45">
      <c r="D7801" s="47"/>
    </row>
    <row r="7802" spans="4:4" x14ac:dyDescent="0.45">
      <c r="D7802" s="47"/>
    </row>
    <row r="7803" spans="4:4" x14ac:dyDescent="0.45">
      <c r="D7803" s="47"/>
    </row>
    <row r="7804" spans="4:4" x14ac:dyDescent="0.45">
      <c r="D7804" s="47"/>
    </row>
    <row r="7805" spans="4:4" x14ac:dyDescent="0.45">
      <c r="D7805" s="47"/>
    </row>
    <row r="7806" spans="4:4" x14ac:dyDescent="0.45">
      <c r="D7806" s="47"/>
    </row>
    <row r="7807" spans="4:4" x14ac:dyDescent="0.45">
      <c r="D7807" s="47"/>
    </row>
    <row r="7808" spans="4:4" x14ac:dyDescent="0.45">
      <c r="D7808" s="47"/>
    </row>
    <row r="7809" spans="4:4" x14ac:dyDescent="0.45">
      <c r="D7809" s="47"/>
    </row>
    <row r="7810" spans="4:4" x14ac:dyDescent="0.45">
      <c r="D7810" s="47"/>
    </row>
    <row r="7811" spans="4:4" x14ac:dyDescent="0.45">
      <c r="D7811" s="47"/>
    </row>
    <row r="7812" spans="4:4" x14ac:dyDescent="0.45">
      <c r="D7812" s="47"/>
    </row>
    <row r="7813" spans="4:4" x14ac:dyDescent="0.45">
      <c r="D7813" s="47"/>
    </row>
    <row r="7814" spans="4:4" x14ac:dyDescent="0.45">
      <c r="D7814" s="47"/>
    </row>
    <row r="7815" spans="4:4" x14ac:dyDescent="0.45">
      <c r="D7815" s="47"/>
    </row>
    <row r="7816" spans="4:4" x14ac:dyDescent="0.45">
      <c r="D7816" s="47"/>
    </row>
    <row r="7817" spans="4:4" x14ac:dyDescent="0.45">
      <c r="D7817" s="47"/>
    </row>
    <row r="7818" spans="4:4" x14ac:dyDescent="0.45">
      <c r="D7818" s="47"/>
    </row>
    <row r="7819" spans="4:4" x14ac:dyDescent="0.45">
      <c r="D7819" s="47"/>
    </row>
    <row r="7820" spans="4:4" x14ac:dyDescent="0.45">
      <c r="D7820" s="47"/>
    </row>
    <row r="7821" spans="4:4" x14ac:dyDescent="0.45">
      <c r="D7821" s="47"/>
    </row>
    <row r="7822" spans="4:4" x14ac:dyDescent="0.45">
      <c r="D7822" s="47"/>
    </row>
    <row r="7823" spans="4:4" x14ac:dyDescent="0.45">
      <c r="D7823" s="47"/>
    </row>
    <row r="7824" spans="4:4" x14ac:dyDescent="0.45">
      <c r="D7824" s="47"/>
    </row>
    <row r="7825" spans="4:4" x14ac:dyDescent="0.45">
      <c r="D7825" s="47"/>
    </row>
    <row r="7826" spans="4:4" x14ac:dyDescent="0.45">
      <c r="D7826" s="47"/>
    </row>
    <row r="7827" spans="4:4" x14ac:dyDescent="0.45">
      <c r="D7827" s="47"/>
    </row>
    <row r="7828" spans="4:4" x14ac:dyDescent="0.45">
      <c r="D7828" s="47"/>
    </row>
    <row r="7829" spans="4:4" x14ac:dyDescent="0.45">
      <c r="D7829" s="47"/>
    </row>
    <row r="7830" spans="4:4" x14ac:dyDescent="0.45">
      <c r="D7830" s="47"/>
    </row>
    <row r="7831" spans="4:4" x14ac:dyDescent="0.45">
      <c r="D7831" s="47"/>
    </row>
    <row r="7832" spans="4:4" x14ac:dyDescent="0.45">
      <c r="D7832" s="47"/>
    </row>
    <row r="7833" spans="4:4" x14ac:dyDescent="0.45">
      <c r="D7833" s="47"/>
    </row>
    <row r="7834" spans="4:4" x14ac:dyDescent="0.45">
      <c r="D7834" s="47"/>
    </row>
    <row r="7835" spans="4:4" x14ac:dyDescent="0.45">
      <c r="D7835" s="47"/>
    </row>
    <row r="7836" spans="4:4" x14ac:dyDescent="0.45">
      <c r="D7836" s="47"/>
    </row>
    <row r="7837" spans="4:4" x14ac:dyDescent="0.45">
      <c r="D7837" s="47"/>
    </row>
    <row r="7838" spans="4:4" x14ac:dyDescent="0.45">
      <c r="D7838" s="47"/>
    </row>
    <row r="7839" spans="4:4" x14ac:dyDescent="0.45">
      <c r="D7839" s="47"/>
    </row>
    <row r="7840" spans="4:4" x14ac:dyDescent="0.45">
      <c r="D7840" s="47"/>
    </row>
    <row r="7841" spans="4:4" x14ac:dyDescent="0.45">
      <c r="D7841" s="47"/>
    </row>
    <row r="7842" spans="4:4" x14ac:dyDescent="0.45">
      <c r="D7842" s="47"/>
    </row>
    <row r="7843" spans="4:4" x14ac:dyDescent="0.45">
      <c r="D7843" s="47"/>
    </row>
    <row r="7844" spans="4:4" x14ac:dyDescent="0.45">
      <c r="D7844" s="47"/>
    </row>
    <row r="7845" spans="4:4" x14ac:dyDescent="0.45">
      <c r="D7845" s="47"/>
    </row>
    <row r="7846" spans="4:4" x14ac:dyDescent="0.45">
      <c r="D7846" s="47"/>
    </row>
    <row r="7847" spans="4:4" x14ac:dyDescent="0.45">
      <c r="D7847" s="47"/>
    </row>
    <row r="7848" spans="4:4" x14ac:dyDescent="0.45">
      <c r="D7848" s="47"/>
    </row>
    <row r="7849" spans="4:4" x14ac:dyDescent="0.45">
      <c r="D7849" s="47"/>
    </row>
    <row r="7850" spans="4:4" x14ac:dyDescent="0.45">
      <c r="D7850" s="47"/>
    </row>
    <row r="7851" spans="4:4" x14ac:dyDescent="0.45">
      <c r="D7851" s="47"/>
    </row>
    <row r="7852" spans="4:4" x14ac:dyDescent="0.45">
      <c r="D7852" s="47"/>
    </row>
    <row r="7853" spans="4:4" x14ac:dyDescent="0.45">
      <c r="D7853" s="47"/>
    </row>
    <row r="7854" spans="4:4" x14ac:dyDescent="0.45">
      <c r="D7854" s="47"/>
    </row>
    <row r="7855" spans="4:4" x14ac:dyDescent="0.45">
      <c r="D7855" s="47"/>
    </row>
    <row r="7856" spans="4:4" x14ac:dyDescent="0.45">
      <c r="D7856" s="47"/>
    </row>
    <row r="7857" spans="4:4" x14ac:dyDescent="0.45">
      <c r="D7857" s="47"/>
    </row>
    <row r="7858" spans="4:4" x14ac:dyDescent="0.45">
      <c r="D7858" s="47"/>
    </row>
    <row r="7859" spans="4:4" x14ac:dyDescent="0.45">
      <c r="D7859" s="47"/>
    </row>
    <row r="7860" spans="4:4" x14ac:dyDescent="0.45">
      <c r="D7860" s="47"/>
    </row>
    <row r="7861" spans="4:4" x14ac:dyDescent="0.45">
      <c r="D7861" s="47"/>
    </row>
    <row r="7862" spans="4:4" x14ac:dyDescent="0.45">
      <c r="D7862" s="47"/>
    </row>
    <row r="7863" spans="4:4" x14ac:dyDescent="0.45">
      <c r="D7863" s="47"/>
    </row>
    <row r="7864" spans="4:4" x14ac:dyDescent="0.45">
      <c r="D7864" s="47"/>
    </row>
    <row r="7865" spans="4:4" x14ac:dyDescent="0.45">
      <c r="D7865" s="47"/>
    </row>
    <row r="7866" spans="4:4" x14ac:dyDescent="0.45">
      <c r="D7866" s="47"/>
    </row>
    <row r="7867" spans="4:4" x14ac:dyDescent="0.45">
      <c r="D7867" s="47"/>
    </row>
    <row r="7868" spans="4:4" x14ac:dyDescent="0.45">
      <c r="D7868" s="47"/>
    </row>
    <row r="7869" spans="4:4" x14ac:dyDescent="0.45">
      <c r="D7869" s="47"/>
    </row>
    <row r="7870" spans="4:4" x14ac:dyDescent="0.45">
      <c r="D7870" s="47"/>
    </row>
    <row r="7871" spans="4:4" x14ac:dyDescent="0.45">
      <c r="D7871" s="47"/>
    </row>
    <row r="7872" spans="4:4" x14ac:dyDescent="0.45">
      <c r="D7872" s="47"/>
    </row>
    <row r="7873" spans="4:4" x14ac:dyDescent="0.45">
      <c r="D7873" s="47"/>
    </row>
    <row r="7874" spans="4:4" x14ac:dyDescent="0.45">
      <c r="D7874" s="47"/>
    </row>
    <row r="7875" spans="4:4" x14ac:dyDescent="0.45">
      <c r="D7875" s="47"/>
    </row>
    <row r="7876" spans="4:4" x14ac:dyDescent="0.45">
      <c r="D7876" s="47"/>
    </row>
    <row r="7877" spans="4:4" x14ac:dyDescent="0.45">
      <c r="D7877" s="47"/>
    </row>
    <row r="7878" spans="4:4" x14ac:dyDescent="0.45">
      <c r="D7878" s="47"/>
    </row>
    <row r="7879" spans="4:4" x14ac:dyDescent="0.45">
      <c r="D7879" s="47"/>
    </row>
    <row r="7880" spans="4:4" x14ac:dyDescent="0.45">
      <c r="D7880" s="47"/>
    </row>
    <row r="7881" spans="4:4" x14ac:dyDescent="0.45">
      <c r="D7881" s="47"/>
    </row>
    <row r="7882" spans="4:4" x14ac:dyDescent="0.45">
      <c r="D7882" s="47"/>
    </row>
    <row r="7883" spans="4:4" x14ac:dyDescent="0.45">
      <c r="D7883" s="47"/>
    </row>
    <row r="7884" spans="4:4" x14ac:dyDescent="0.45">
      <c r="D7884" s="47"/>
    </row>
    <row r="7885" spans="4:4" x14ac:dyDescent="0.45">
      <c r="D7885" s="47"/>
    </row>
    <row r="7886" spans="4:4" x14ac:dyDescent="0.45">
      <c r="D7886" s="47"/>
    </row>
    <row r="7887" spans="4:4" x14ac:dyDescent="0.45">
      <c r="D7887" s="47"/>
    </row>
    <row r="7888" spans="4:4" x14ac:dyDescent="0.45">
      <c r="D7888" s="47"/>
    </row>
    <row r="7889" spans="4:4" x14ac:dyDescent="0.45">
      <c r="D7889" s="47"/>
    </row>
    <row r="7890" spans="4:4" x14ac:dyDescent="0.45">
      <c r="D7890" s="47"/>
    </row>
    <row r="7891" spans="4:4" x14ac:dyDescent="0.45">
      <c r="D7891" s="47"/>
    </row>
    <row r="7892" spans="4:4" x14ac:dyDescent="0.45">
      <c r="D7892" s="47"/>
    </row>
    <row r="7893" spans="4:4" x14ac:dyDescent="0.45">
      <c r="D7893" s="47"/>
    </row>
    <row r="7894" spans="4:4" x14ac:dyDescent="0.45">
      <c r="D7894" s="47"/>
    </row>
    <row r="7895" spans="4:4" x14ac:dyDescent="0.45">
      <c r="D7895" s="47"/>
    </row>
    <row r="7896" spans="4:4" x14ac:dyDescent="0.45">
      <c r="D7896" s="47"/>
    </row>
    <row r="7897" spans="4:4" x14ac:dyDescent="0.45">
      <c r="D7897" s="47"/>
    </row>
    <row r="7898" spans="4:4" x14ac:dyDescent="0.45">
      <c r="D7898" s="47"/>
    </row>
    <row r="7899" spans="4:4" x14ac:dyDescent="0.45">
      <c r="D7899" s="47"/>
    </row>
    <row r="7900" spans="4:4" x14ac:dyDescent="0.45">
      <c r="D7900" s="47"/>
    </row>
    <row r="7901" spans="4:4" x14ac:dyDescent="0.45">
      <c r="D7901" s="47"/>
    </row>
    <row r="7902" spans="4:4" x14ac:dyDescent="0.45">
      <c r="D7902" s="47"/>
    </row>
    <row r="7903" spans="4:4" x14ac:dyDescent="0.45">
      <c r="D7903" s="47"/>
    </row>
    <row r="7904" spans="4:4" x14ac:dyDescent="0.45">
      <c r="D7904" s="47"/>
    </row>
    <row r="7905" spans="4:4" x14ac:dyDescent="0.45">
      <c r="D7905" s="47"/>
    </row>
    <row r="7906" spans="4:4" x14ac:dyDescent="0.45">
      <c r="D7906" s="47"/>
    </row>
    <row r="7907" spans="4:4" x14ac:dyDescent="0.45">
      <c r="D7907" s="47"/>
    </row>
    <row r="7908" spans="4:4" x14ac:dyDescent="0.45">
      <c r="D7908" s="47"/>
    </row>
    <row r="7909" spans="4:4" x14ac:dyDescent="0.45">
      <c r="D7909" s="47"/>
    </row>
    <row r="7910" spans="4:4" x14ac:dyDescent="0.45">
      <c r="D7910" s="47"/>
    </row>
    <row r="7911" spans="4:4" x14ac:dyDescent="0.45">
      <c r="D7911" s="47"/>
    </row>
    <row r="7912" spans="4:4" x14ac:dyDescent="0.45">
      <c r="D7912" s="47"/>
    </row>
    <row r="7913" spans="4:4" x14ac:dyDescent="0.45">
      <c r="D7913" s="47"/>
    </row>
    <row r="7914" spans="4:4" x14ac:dyDescent="0.45">
      <c r="D7914" s="47"/>
    </row>
    <row r="7915" spans="4:4" x14ac:dyDescent="0.45">
      <c r="D7915" s="47"/>
    </row>
    <row r="7916" spans="4:4" x14ac:dyDescent="0.45">
      <c r="D7916" s="47"/>
    </row>
    <row r="7917" spans="4:4" x14ac:dyDescent="0.45">
      <c r="D7917" s="47"/>
    </row>
    <row r="7918" spans="4:4" x14ac:dyDescent="0.45">
      <c r="D7918" s="47"/>
    </row>
    <row r="7919" spans="4:4" x14ac:dyDescent="0.45">
      <c r="D7919" s="47"/>
    </row>
    <row r="7920" spans="4:4" x14ac:dyDescent="0.45">
      <c r="D7920" s="47"/>
    </row>
    <row r="7921" spans="4:4" x14ac:dyDescent="0.45">
      <c r="D7921" s="47"/>
    </row>
    <row r="7922" spans="4:4" x14ac:dyDescent="0.45">
      <c r="D7922" s="47"/>
    </row>
    <row r="7923" spans="4:4" x14ac:dyDescent="0.45">
      <c r="D7923" s="47"/>
    </row>
    <row r="7924" spans="4:4" x14ac:dyDescent="0.45">
      <c r="D7924" s="47"/>
    </row>
    <row r="7925" spans="4:4" x14ac:dyDescent="0.45">
      <c r="D7925" s="47"/>
    </row>
    <row r="7926" spans="4:4" x14ac:dyDescent="0.45">
      <c r="D7926" s="47"/>
    </row>
    <row r="7927" spans="4:4" x14ac:dyDescent="0.45">
      <c r="D7927" s="47"/>
    </row>
    <row r="7928" spans="4:4" x14ac:dyDescent="0.45">
      <c r="D7928" s="47"/>
    </row>
    <row r="7929" spans="4:4" x14ac:dyDescent="0.45">
      <c r="D7929" s="47"/>
    </row>
    <row r="7930" spans="4:4" x14ac:dyDescent="0.45">
      <c r="D7930" s="47"/>
    </row>
    <row r="7931" spans="4:4" x14ac:dyDescent="0.45">
      <c r="D7931" s="47"/>
    </row>
    <row r="7932" spans="4:4" x14ac:dyDescent="0.45">
      <c r="D7932" s="47"/>
    </row>
    <row r="7933" spans="4:4" x14ac:dyDescent="0.45">
      <c r="D7933" s="47"/>
    </row>
    <row r="7934" spans="4:4" x14ac:dyDescent="0.45">
      <c r="D7934" s="47"/>
    </row>
    <row r="7935" spans="4:4" x14ac:dyDescent="0.45">
      <c r="D7935" s="47"/>
    </row>
    <row r="7936" spans="4:4" x14ac:dyDescent="0.45">
      <c r="D7936" s="47"/>
    </row>
    <row r="7937" spans="4:4" x14ac:dyDescent="0.45">
      <c r="D7937" s="47"/>
    </row>
    <row r="7938" spans="4:4" x14ac:dyDescent="0.45">
      <c r="D7938" s="47"/>
    </row>
    <row r="7939" spans="4:4" x14ac:dyDescent="0.45">
      <c r="D7939" s="47"/>
    </row>
    <row r="7940" spans="4:4" x14ac:dyDescent="0.45">
      <c r="D7940" s="47"/>
    </row>
    <row r="7941" spans="4:4" x14ac:dyDescent="0.45">
      <c r="D7941" s="47"/>
    </row>
    <row r="7942" spans="4:4" x14ac:dyDescent="0.45">
      <c r="D7942" s="47"/>
    </row>
    <row r="7943" spans="4:4" x14ac:dyDescent="0.45">
      <c r="D7943" s="47"/>
    </row>
    <row r="7944" spans="4:4" x14ac:dyDescent="0.45">
      <c r="D7944" s="47"/>
    </row>
    <row r="7945" spans="4:4" x14ac:dyDescent="0.45">
      <c r="D7945" s="47"/>
    </row>
    <row r="7946" spans="4:4" x14ac:dyDescent="0.45">
      <c r="D7946" s="47"/>
    </row>
    <row r="7947" spans="4:4" x14ac:dyDescent="0.45">
      <c r="D7947" s="47"/>
    </row>
    <row r="7948" spans="4:4" x14ac:dyDescent="0.45">
      <c r="D7948" s="47"/>
    </row>
    <row r="7949" spans="4:4" x14ac:dyDescent="0.45">
      <c r="D7949" s="47"/>
    </row>
    <row r="7950" spans="4:4" x14ac:dyDescent="0.45">
      <c r="D7950" s="47"/>
    </row>
    <row r="7951" spans="4:4" x14ac:dyDescent="0.45">
      <c r="D7951" s="47"/>
    </row>
    <row r="7952" spans="4:4" x14ac:dyDescent="0.45">
      <c r="D7952" s="47"/>
    </row>
    <row r="7953" spans="4:4" x14ac:dyDescent="0.45">
      <c r="D7953" s="47"/>
    </row>
    <row r="7954" spans="4:4" x14ac:dyDescent="0.45">
      <c r="D7954" s="47"/>
    </row>
    <row r="7955" spans="4:4" x14ac:dyDescent="0.45">
      <c r="D7955" s="47"/>
    </row>
    <row r="7956" spans="4:4" x14ac:dyDescent="0.45">
      <c r="D7956" s="47"/>
    </row>
    <row r="7957" spans="4:4" x14ac:dyDescent="0.45">
      <c r="D7957" s="47"/>
    </row>
    <row r="7958" spans="4:4" x14ac:dyDescent="0.45">
      <c r="D7958" s="47"/>
    </row>
    <row r="7959" spans="4:4" x14ac:dyDescent="0.45">
      <c r="D7959" s="47"/>
    </row>
    <row r="7960" spans="4:4" x14ac:dyDescent="0.45">
      <c r="D7960" s="47"/>
    </row>
    <row r="7961" spans="4:4" x14ac:dyDescent="0.45">
      <c r="D7961" s="47"/>
    </row>
    <row r="7962" spans="4:4" x14ac:dyDescent="0.45">
      <c r="D7962" s="47"/>
    </row>
    <row r="7963" spans="4:4" x14ac:dyDescent="0.45">
      <c r="D7963" s="47"/>
    </row>
    <row r="7964" spans="4:4" x14ac:dyDescent="0.45">
      <c r="D7964" s="47"/>
    </row>
    <row r="7965" spans="4:4" x14ac:dyDescent="0.45">
      <c r="D7965" s="47"/>
    </row>
    <row r="7966" spans="4:4" x14ac:dyDescent="0.45">
      <c r="D7966" s="47"/>
    </row>
    <row r="7967" spans="4:4" x14ac:dyDescent="0.45">
      <c r="D7967" s="47"/>
    </row>
    <row r="7968" spans="4:4" x14ac:dyDescent="0.45">
      <c r="D7968" s="47"/>
    </row>
    <row r="7969" spans="4:4" x14ac:dyDescent="0.45">
      <c r="D7969" s="47"/>
    </row>
    <row r="7970" spans="4:4" x14ac:dyDescent="0.45">
      <c r="D7970" s="47"/>
    </row>
    <row r="7971" spans="4:4" x14ac:dyDescent="0.45">
      <c r="D7971" s="47"/>
    </row>
    <row r="7972" spans="4:4" x14ac:dyDescent="0.45">
      <c r="D7972" s="47"/>
    </row>
    <row r="7973" spans="4:4" x14ac:dyDescent="0.45">
      <c r="D7973" s="47"/>
    </row>
    <row r="7974" spans="4:4" x14ac:dyDescent="0.45">
      <c r="D7974" s="47"/>
    </row>
    <row r="7975" spans="4:4" x14ac:dyDescent="0.45">
      <c r="D7975" s="47"/>
    </row>
    <row r="7976" spans="4:4" x14ac:dyDescent="0.45">
      <c r="D7976" s="47"/>
    </row>
    <row r="7977" spans="4:4" x14ac:dyDescent="0.45">
      <c r="D7977" s="47"/>
    </row>
    <row r="7978" spans="4:4" x14ac:dyDescent="0.45">
      <c r="D7978" s="47"/>
    </row>
    <row r="7979" spans="4:4" x14ac:dyDescent="0.45">
      <c r="D7979" s="47"/>
    </row>
    <row r="7980" spans="4:4" x14ac:dyDescent="0.45">
      <c r="D7980" s="47"/>
    </row>
    <row r="7981" spans="4:4" x14ac:dyDescent="0.45">
      <c r="D7981" s="47"/>
    </row>
    <row r="7982" spans="4:4" x14ac:dyDescent="0.45">
      <c r="D7982" s="47"/>
    </row>
    <row r="7983" spans="4:4" x14ac:dyDescent="0.45">
      <c r="D7983" s="47"/>
    </row>
    <row r="7984" spans="4:4" x14ac:dyDescent="0.45">
      <c r="D7984" s="47"/>
    </row>
    <row r="7985" spans="4:4" x14ac:dyDescent="0.45">
      <c r="D7985" s="47"/>
    </row>
    <row r="7986" spans="4:4" x14ac:dyDescent="0.45">
      <c r="D7986" s="47"/>
    </row>
    <row r="7987" spans="4:4" x14ac:dyDescent="0.45">
      <c r="D7987" s="47"/>
    </row>
    <row r="7988" spans="4:4" x14ac:dyDescent="0.45">
      <c r="D7988" s="47"/>
    </row>
    <row r="7989" spans="4:4" x14ac:dyDescent="0.45">
      <c r="D7989" s="47"/>
    </row>
    <row r="7990" spans="4:4" x14ac:dyDescent="0.45">
      <c r="D7990" s="47"/>
    </row>
    <row r="7991" spans="4:4" x14ac:dyDescent="0.45">
      <c r="D7991" s="47"/>
    </row>
    <row r="7992" spans="4:4" x14ac:dyDescent="0.45">
      <c r="D7992" s="47"/>
    </row>
    <row r="7993" spans="4:4" x14ac:dyDescent="0.45">
      <c r="D7993" s="47"/>
    </row>
    <row r="7994" spans="4:4" x14ac:dyDescent="0.45">
      <c r="D7994" s="47"/>
    </row>
    <row r="7995" spans="4:4" x14ac:dyDescent="0.45">
      <c r="D7995" s="47"/>
    </row>
    <row r="7996" spans="4:4" x14ac:dyDescent="0.45">
      <c r="D7996" s="47"/>
    </row>
    <row r="7997" spans="4:4" x14ac:dyDescent="0.45">
      <c r="D7997" s="47"/>
    </row>
    <row r="7998" spans="4:4" x14ac:dyDescent="0.45">
      <c r="D7998" s="47"/>
    </row>
    <row r="7999" spans="4:4" x14ac:dyDescent="0.45">
      <c r="D7999" s="47"/>
    </row>
    <row r="8000" spans="4:4" x14ac:dyDescent="0.45">
      <c r="D8000" s="47"/>
    </row>
    <row r="8001" spans="4:4" x14ac:dyDescent="0.45">
      <c r="D8001" s="47"/>
    </row>
    <row r="8002" spans="4:4" x14ac:dyDescent="0.45">
      <c r="D8002" s="47"/>
    </row>
    <row r="8003" spans="4:4" x14ac:dyDescent="0.45">
      <c r="D8003" s="47"/>
    </row>
    <row r="8004" spans="4:4" x14ac:dyDescent="0.45">
      <c r="D8004" s="47"/>
    </row>
    <row r="8005" spans="4:4" x14ac:dyDescent="0.45">
      <c r="D8005" s="47"/>
    </row>
    <row r="8006" spans="4:4" x14ac:dyDescent="0.45">
      <c r="D8006" s="47"/>
    </row>
    <row r="8007" spans="4:4" x14ac:dyDescent="0.45">
      <c r="D8007" s="47"/>
    </row>
    <row r="8008" spans="4:4" x14ac:dyDescent="0.45">
      <c r="D8008" s="47"/>
    </row>
    <row r="8009" spans="4:4" x14ac:dyDescent="0.45">
      <c r="D8009" s="47"/>
    </row>
    <row r="8010" spans="4:4" x14ac:dyDescent="0.45">
      <c r="D8010" s="47"/>
    </row>
    <row r="8011" spans="4:4" x14ac:dyDescent="0.45">
      <c r="D8011" s="47"/>
    </row>
    <row r="8012" spans="4:4" x14ac:dyDescent="0.45">
      <c r="D8012" s="47"/>
    </row>
    <row r="8013" spans="4:4" x14ac:dyDescent="0.45">
      <c r="D8013" s="47"/>
    </row>
    <row r="8014" spans="4:4" x14ac:dyDescent="0.45">
      <c r="D8014" s="47"/>
    </row>
    <row r="8015" spans="4:4" x14ac:dyDescent="0.45">
      <c r="D8015" s="47"/>
    </row>
    <row r="8016" spans="4:4" x14ac:dyDescent="0.45">
      <c r="D8016" s="47"/>
    </row>
    <row r="8017" spans="4:4" x14ac:dyDescent="0.45">
      <c r="D8017" s="47"/>
    </row>
    <row r="8018" spans="4:4" x14ac:dyDescent="0.45">
      <c r="D8018" s="47"/>
    </row>
    <row r="8019" spans="4:4" x14ac:dyDescent="0.45">
      <c r="D8019" s="47"/>
    </row>
    <row r="8020" spans="4:4" x14ac:dyDescent="0.45">
      <c r="D8020" s="47"/>
    </row>
    <row r="8021" spans="4:4" x14ac:dyDescent="0.45">
      <c r="D8021" s="47"/>
    </row>
    <row r="8022" spans="4:4" x14ac:dyDescent="0.45">
      <c r="D8022" s="47"/>
    </row>
    <row r="8023" spans="4:4" x14ac:dyDescent="0.45">
      <c r="D8023" s="47"/>
    </row>
    <row r="8024" spans="4:4" x14ac:dyDescent="0.45">
      <c r="D8024" s="47"/>
    </row>
    <row r="8025" spans="4:4" x14ac:dyDescent="0.45">
      <c r="D8025" s="47"/>
    </row>
    <row r="8026" spans="4:4" x14ac:dyDescent="0.45">
      <c r="D8026" s="47"/>
    </row>
    <row r="8027" spans="4:4" x14ac:dyDescent="0.45">
      <c r="D8027" s="47"/>
    </row>
    <row r="8028" spans="4:4" x14ac:dyDescent="0.45">
      <c r="D8028" s="47"/>
    </row>
    <row r="8029" spans="4:4" x14ac:dyDescent="0.45">
      <c r="D8029" s="47"/>
    </row>
    <row r="8030" spans="4:4" x14ac:dyDescent="0.45">
      <c r="D8030" s="47"/>
    </row>
    <row r="8031" spans="4:4" x14ac:dyDescent="0.45">
      <c r="D8031" s="47"/>
    </row>
    <row r="8032" spans="4:4" x14ac:dyDescent="0.45">
      <c r="D8032" s="47"/>
    </row>
    <row r="8033" spans="4:4" x14ac:dyDescent="0.45">
      <c r="D8033" s="47"/>
    </row>
    <row r="8034" spans="4:4" x14ac:dyDescent="0.45">
      <c r="D8034" s="47"/>
    </row>
    <row r="8035" spans="4:4" x14ac:dyDescent="0.45">
      <c r="D8035" s="47"/>
    </row>
    <row r="8036" spans="4:4" x14ac:dyDescent="0.45">
      <c r="D8036" s="47"/>
    </row>
    <row r="8037" spans="4:4" x14ac:dyDescent="0.45">
      <c r="D8037" s="47"/>
    </row>
    <row r="8038" spans="4:4" x14ac:dyDescent="0.45">
      <c r="D8038" s="47"/>
    </row>
    <row r="8039" spans="4:4" x14ac:dyDescent="0.45">
      <c r="D8039" s="47"/>
    </row>
    <row r="8040" spans="4:4" x14ac:dyDescent="0.45">
      <c r="D8040" s="47"/>
    </row>
    <row r="8041" spans="4:4" x14ac:dyDescent="0.45">
      <c r="D8041" s="47"/>
    </row>
    <row r="8042" spans="4:4" x14ac:dyDescent="0.45">
      <c r="D8042" s="47"/>
    </row>
    <row r="8043" spans="4:4" x14ac:dyDescent="0.45">
      <c r="D8043" s="47"/>
    </row>
    <row r="8044" spans="4:4" x14ac:dyDescent="0.45">
      <c r="D8044" s="47"/>
    </row>
    <row r="8045" spans="4:4" x14ac:dyDescent="0.45">
      <c r="D8045" s="47"/>
    </row>
    <row r="8046" spans="4:4" x14ac:dyDescent="0.45">
      <c r="D8046" s="47"/>
    </row>
    <row r="8047" spans="4:4" x14ac:dyDescent="0.45">
      <c r="D8047" s="47"/>
    </row>
    <row r="8048" spans="4:4" x14ac:dyDescent="0.45">
      <c r="D8048" s="47"/>
    </row>
    <row r="8049" spans="4:4" x14ac:dyDescent="0.45">
      <c r="D8049" s="47"/>
    </row>
    <row r="8050" spans="4:4" x14ac:dyDescent="0.45">
      <c r="D8050" s="47"/>
    </row>
    <row r="8051" spans="4:4" x14ac:dyDescent="0.45">
      <c r="D8051" s="47"/>
    </row>
    <row r="8052" spans="4:4" x14ac:dyDescent="0.45">
      <c r="D8052" s="47"/>
    </row>
    <row r="8053" spans="4:4" x14ac:dyDescent="0.45">
      <c r="D8053" s="47"/>
    </row>
    <row r="8054" spans="4:4" x14ac:dyDescent="0.45">
      <c r="D8054" s="47"/>
    </row>
    <row r="8055" spans="4:4" x14ac:dyDescent="0.45">
      <c r="D8055" s="47"/>
    </row>
    <row r="8056" spans="4:4" x14ac:dyDescent="0.45">
      <c r="D8056" s="47"/>
    </row>
    <row r="8057" spans="4:4" x14ac:dyDescent="0.45">
      <c r="D8057" s="47"/>
    </row>
    <row r="8058" spans="4:4" x14ac:dyDescent="0.45">
      <c r="D8058" s="47"/>
    </row>
    <row r="8059" spans="4:4" x14ac:dyDescent="0.45">
      <c r="D8059" s="47"/>
    </row>
    <row r="8060" spans="4:4" x14ac:dyDescent="0.45">
      <c r="D8060" s="47"/>
    </row>
    <row r="8061" spans="4:4" x14ac:dyDescent="0.45">
      <c r="D8061" s="47"/>
    </row>
    <row r="8062" spans="4:4" x14ac:dyDescent="0.45">
      <c r="D8062" s="47"/>
    </row>
    <row r="8063" spans="4:4" x14ac:dyDescent="0.45">
      <c r="D8063" s="47"/>
    </row>
    <row r="8064" spans="4:4" x14ac:dyDescent="0.45">
      <c r="D8064" s="47"/>
    </row>
    <row r="8065" spans="4:4" x14ac:dyDescent="0.45">
      <c r="D8065" s="47"/>
    </row>
    <row r="8066" spans="4:4" x14ac:dyDescent="0.45">
      <c r="D8066" s="47"/>
    </row>
    <row r="8067" spans="4:4" x14ac:dyDescent="0.45">
      <c r="D8067" s="47"/>
    </row>
    <row r="8068" spans="4:4" x14ac:dyDescent="0.45">
      <c r="D8068" s="47"/>
    </row>
    <row r="8069" spans="4:4" x14ac:dyDescent="0.45">
      <c r="D8069" s="47"/>
    </row>
    <row r="8070" spans="4:4" x14ac:dyDescent="0.45">
      <c r="D8070" s="47"/>
    </row>
    <row r="8071" spans="4:4" x14ac:dyDescent="0.45">
      <c r="D8071" s="47"/>
    </row>
    <row r="8072" spans="4:4" x14ac:dyDescent="0.45">
      <c r="D8072" s="47"/>
    </row>
    <row r="8073" spans="4:4" x14ac:dyDescent="0.45">
      <c r="D8073" s="47"/>
    </row>
    <row r="8074" spans="4:4" x14ac:dyDescent="0.45">
      <c r="D8074" s="47"/>
    </row>
    <row r="8075" spans="4:4" x14ac:dyDescent="0.45">
      <c r="D8075" s="47"/>
    </row>
    <row r="8076" spans="4:4" x14ac:dyDescent="0.45">
      <c r="D8076" s="47"/>
    </row>
    <row r="8077" spans="4:4" x14ac:dyDescent="0.45">
      <c r="D8077" s="47"/>
    </row>
    <row r="8078" spans="4:4" x14ac:dyDescent="0.45">
      <c r="D8078" s="47"/>
    </row>
    <row r="8079" spans="4:4" x14ac:dyDescent="0.45">
      <c r="D8079" s="47"/>
    </row>
    <row r="8080" spans="4:4" x14ac:dyDescent="0.45">
      <c r="D8080" s="47"/>
    </row>
    <row r="8081" spans="4:4" x14ac:dyDescent="0.45">
      <c r="D8081" s="47"/>
    </row>
    <row r="8082" spans="4:4" x14ac:dyDescent="0.45">
      <c r="D8082" s="47"/>
    </row>
    <row r="8083" spans="4:4" x14ac:dyDescent="0.45">
      <c r="D8083" s="47"/>
    </row>
    <row r="8084" spans="4:4" x14ac:dyDescent="0.45">
      <c r="D8084" s="47"/>
    </row>
    <row r="8085" spans="4:4" x14ac:dyDescent="0.45">
      <c r="D8085" s="47"/>
    </row>
    <row r="8086" spans="4:4" x14ac:dyDescent="0.45">
      <c r="D8086" s="47"/>
    </row>
    <row r="8087" spans="4:4" x14ac:dyDescent="0.45">
      <c r="D8087" s="47"/>
    </row>
    <row r="8088" spans="4:4" x14ac:dyDescent="0.45">
      <c r="D8088" s="47"/>
    </row>
    <row r="8089" spans="4:4" x14ac:dyDescent="0.45">
      <c r="D8089" s="47"/>
    </row>
    <row r="8090" spans="4:4" x14ac:dyDescent="0.45">
      <c r="D8090" s="47"/>
    </row>
    <row r="8091" spans="4:4" x14ac:dyDescent="0.45">
      <c r="D8091" s="47"/>
    </row>
    <row r="8092" spans="4:4" x14ac:dyDescent="0.45">
      <c r="D8092" s="47"/>
    </row>
    <row r="8093" spans="4:4" x14ac:dyDescent="0.45">
      <c r="D8093" s="47"/>
    </row>
    <row r="8094" spans="4:4" x14ac:dyDescent="0.45">
      <c r="D8094" s="47"/>
    </row>
    <row r="8095" spans="4:4" x14ac:dyDescent="0.45">
      <c r="D8095" s="47"/>
    </row>
    <row r="8096" spans="4:4" x14ac:dyDescent="0.45">
      <c r="D8096" s="47"/>
    </row>
    <row r="8097" spans="4:4" x14ac:dyDescent="0.45">
      <c r="D8097" s="47"/>
    </row>
    <row r="8098" spans="4:4" x14ac:dyDescent="0.45">
      <c r="D8098" s="47"/>
    </row>
    <row r="8099" spans="4:4" x14ac:dyDescent="0.45">
      <c r="D8099" s="47"/>
    </row>
    <row r="8100" spans="4:4" x14ac:dyDescent="0.45">
      <c r="D8100" s="47"/>
    </row>
    <row r="8101" spans="4:4" x14ac:dyDescent="0.45">
      <c r="D8101" s="47"/>
    </row>
    <row r="8102" spans="4:4" x14ac:dyDescent="0.45">
      <c r="D8102" s="47"/>
    </row>
    <row r="8103" spans="4:4" x14ac:dyDescent="0.45">
      <c r="D8103" s="47"/>
    </row>
    <row r="8104" spans="4:4" x14ac:dyDescent="0.45">
      <c r="D8104" s="47"/>
    </row>
    <row r="8105" spans="4:4" x14ac:dyDescent="0.45">
      <c r="D8105" s="47"/>
    </row>
    <row r="8106" spans="4:4" x14ac:dyDescent="0.45">
      <c r="D8106" s="47"/>
    </row>
    <row r="8107" spans="4:4" x14ac:dyDescent="0.45">
      <c r="D8107" s="47"/>
    </row>
    <row r="8108" spans="4:4" x14ac:dyDescent="0.45">
      <c r="D8108" s="47"/>
    </row>
    <row r="8109" spans="4:4" x14ac:dyDescent="0.45">
      <c r="D8109" s="47"/>
    </row>
    <row r="8110" spans="4:4" x14ac:dyDescent="0.45">
      <c r="D8110" s="47"/>
    </row>
    <row r="8111" spans="4:4" x14ac:dyDescent="0.45">
      <c r="D8111" s="47"/>
    </row>
    <row r="8112" spans="4:4" x14ac:dyDescent="0.45">
      <c r="D8112" s="47"/>
    </row>
    <row r="8113" spans="4:4" x14ac:dyDescent="0.45">
      <c r="D8113" s="47"/>
    </row>
    <row r="8114" spans="4:4" x14ac:dyDescent="0.45">
      <c r="D8114" s="47"/>
    </row>
    <row r="8115" spans="4:4" x14ac:dyDescent="0.45">
      <c r="D8115" s="47"/>
    </row>
    <row r="8116" spans="4:4" x14ac:dyDescent="0.45">
      <c r="D8116" s="47"/>
    </row>
    <row r="8117" spans="4:4" x14ac:dyDescent="0.45">
      <c r="D8117" s="47"/>
    </row>
    <row r="8118" spans="4:4" x14ac:dyDescent="0.45">
      <c r="D8118" s="47"/>
    </row>
    <row r="8119" spans="4:4" x14ac:dyDescent="0.45">
      <c r="D8119" s="47"/>
    </row>
    <row r="8120" spans="4:4" x14ac:dyDescent="0.45">
      <c r="D8120" s="47"/>
    </row>
    <row r="8121" spans="4:4" x14ac:dyDescent="0.45">
      <c r="D8121" s="47"/>
    </row>
    <row r="8122" spans="4:4" x14ac:dyDescent="0.45">
      <c r="D8122" s="47"/>
    </row>
    <row r="8123" spans="4:4" x14ac:dyDescent="0.45">
      <c r="D8123" s="47"/>
    </row>
    <row r="8124" spans="4:4" x14ac:dyDescent="0.45">
      <c r="D8124" s="47"/>
    </row>
    <row r="8125" spans="4:4" x14ac:dyDescent="0.45">
      <c r="D8125" s="47"/>
    </row>
    <row r="8126" spans="4:4" x14ac:dyDescent="0.45">
      <c r="D8126" s="47"/>
    </row>
    <row r="8127" spans="4:4" x14ac:dyDescent="0.45">
      <c r="D8127" s="47"/>
    </row>
    <row r="8128" spans="4:4" x14ac:dyDescent="0.45">
      <c r="D8128" s="47"/>
    </row>
    <row r="8129" spans="4:4" x14ac:dyDescent="0.45">
      <c r="D8129" s="47"/>
    </row>
    <row r="8130" spans="4:4" x14ac:dyDescent="0.45">
      <c r="D8130" s="47"/>
    </row>
    <row r="8131" spans="4:4" x14ac:dyDescent="0.45">
      <c r="D8131" s="47"/>
    </row>
    <row r="8132" spans="4:4" x14ac:dyDescent="0.45">
      <c r="D8132" s="47"/>
    </row>
    <row r="8133" spans="4:4" x14ac:dyDescent="0.45">
      <c r="D8133" s="47"/>
    </row>
    <row r="8134" spans="4:4" x14ac:dyDescent="0.45">
      <c r="D8134" s="47"/>
    </row>
    <row r="8135" spans="4:4" x14ac:dyDescent="0.45">
      <c r="D8135" s="47"/>
    </row>
    <row r="8136" spans="4:4" x14ac:dyDescent="0.45">
      <c r="D8136" s="47"/>
    </row>
    <row r="8137" spans="4:4" x14ac:dyDescent="0.45">
      <c r="D8137" s="47"/>
    </row>
    <row r="8138" spans="4:4" x14ac:dyDescent="0.45">
      <c r="D8138" s="47"/>
    </row>
    <row r="8139" spans="4:4" x14ac:dyDescent="0.45">
      <c r="D8139" s="47"/>
    </row>
    <row r="8140" spans="4:4" x14ac:dyDescent="0.45">
      <c r="D8140" s="47"/>
    </row>
    <row r="8141" spans="4:4" x14ac:dyDescent="0.45">
      <c r="D8141" s="47"/>
    </row>
    <row r="8142" spans="4:4" x14ac:dyDescent="0.45">
      <c r="D8142" s="47"/>
    </row>
    <row r="8143" spans="4:4" x14ac:dyDescent="0.45">
      <c r="D8143" s="47"/>
    </row>
    <row r="8144" spans="4:4" x14ac:dyDescent="0.45">
      <c r="D8144" s="47"/>
    </row>
    <row r="8145" spans="4:4" x14ac:dyDescent="0.45">
      <c r="D8145" s="47"/>
    </row>
    <row r="8146" spans="4:4" x14ac:dyDescent="0.45">
      <c r="D8146" s="47"/>
    </row>
    <row r="8147" spans="4:4" x14ac:dyDescent="0.45">
      <c r="D8147" s="47"/>
    </row>
    <row r="8148" spans="4:4" x14ac:dyDescent="0.45">
      <c r="D8148" s="47"/>
    </row>
    <row r="8149" spans="4:4" x14ac:dyDescent="0.45">
      <c r="D8149" s="47"/>
    </row>
    <row r="8150" spans="4:4" x14ac:dyDescent="0.45">
      <c r="D8150" s="47"/>
    </row>
    <row r="8151" spans="4:4" x14ac:dyDescent="0.45">
      <c r="D8151" s="47"/>
    </row>
    <row r="8152" spans="4:4" x14ac:dyDescent="0.45">
      <c r="D8152" s="47"/>
    </row>
    <row r="8153" spans="4:4" x14ac:dyDescent="0.45">
      <c r="D8153" s="47"/>
    </row>
    <row r="8154" spans="4:4" x14ac:dyDescent="0.45">
      <c r="D8154" s="47"/>
    </row>
    <row r="8155" spans="4:4" x14ac:dyDescent="0.45">
      <c r="D8155" s="47"/>
    </row>
    <row r="8156" spans="4:4" x14ac:dyDescent="0.45">
      <c r="D8156" s="47"/>
    </row>
    <row r="8157" spans="4:4" x14ac:dyDescent="0.45">
      <c r="D8157" s="47"/>
    </row>
    <row r="8158" spans="4:4" x14ac:dyDescent="0.45">
      <c r="D8158" s="47"/>
    </row>
    <row r="8159" spans="4:4" x14ac:dyDescent="0.45">
      <c r="D8159" s="47"/>
    </row>
    <row r="8160" spans="4:4" x14ac:dyDescent="0.45">
      <c r="D8160" s="47"/>
    </row>
    <row r="8161" spans="4:4" x14ac:dyDescent="0.45">
      <c r="D8161" s="47"/>
    </row>
    <row r="8162" spans="4:4" x14ac:dyDescent="0.45">
      <c r="D8162" s="47"/>
    </row>
    <row r="8163" spans="4:4" x14ac:dyDescent="0.45">
      <c r="D8163" s="47"/>
    </row>
    <row r="8164" spans="4:4" x14ac:dyDescent="0.45">
      <c r="D8164" s="47"/>
    </row>
    <row r="8165" spans="4:4" x14ac:dyDescent="0.45">
      <c r="D8165" s="47"/>
    </row>
    <row r="8166" spans="4:4" x14ac:dyDescent="0.45">
      <c r="D8166" s="47"/>
    </row>
    <row r="8167" spans="4:4" x14ac:dyDescent="0.45">
      <c r="D8167" s="47"/>
    </row>
    <row r="8168" spans="4:4" x14ac:dyDescent="0.45">
      <c r="D8168" s="47"/>
    </row>
    <row r="8169" spans="4:4" x14ac:dyDescent="0.45">
      <c r="D8169" s="47"/>
    </row>
    <row r="8170" spans="4:4" x14ac:dyDescent="0.45">
      <c r="D8170" s="47"/>
    </row>
    <row r="8171" spans="4:4" x14ac:dyDescent="0.45">
      <c r="D8171" s="47"/>
    </row>
    <row r="8172" spans="4:4" x14ac:dyDescent="0.45">
      <c r="D8172" s="47"/>
    </row>
    <row r="8173" spans="4:4" x14ac:dyDescent="0.45">
      <c r="D8173" s="47"/>
    </row>
    <row r="8174" spans="4:4" x14ac:dyDescent="0.45">
      <c r="D8174" s="47"/>
    </row>
    <row r="8175" spans="4:4" x14ac:dyDescent="0.45">
      <c r="D8175" s="47"/>
    </row>
    <row r="8176" spans="4:4" x14ac:dyDescent="0.45">
      <c r="D8176" s="47"/>
    </row>
    <row r="8177" spans="4:4" x14ac:dyDescent="0.45">
      <c r="D8177" s="47"/>
    </row>
    <row r="8178" spans="4:4" x14ac:dyDescent="0.45">
      <c r="D8178" s="47"/>
    </row>
    <row r="8179" spans="4:4" x14ac:dyDescent="0.45">
      <c r="D8179" s="47"/>
    </row>
    <row r="8180" spans="4:4" x14ac:dyDescent="0.45">
      <c r="D8180" s="47"/>
    </row>
    <row r="8181" spans="4:4" x14ac:dyDescent="0.45">
      <c r="D8181" s="47"/>
    </row>
    <row r="8182" spans="4:4" x14ac:dyDescent="0.45">
      <c r="D8182" s="47"/>
    </row>
    <row r="8183" spans="4:4" x14ac:dyDescent="0.45">
      <c r="D8183" s="47"/>
    </row>
    <row r="8184" spans="4:4" x14ac:dyDescent="0.45">
      <c r="D8184" s="47"/>
    </row>
    <row r="8185" spans="4:4" x14ac:dyDescent="0.45">
      <c r="D8185" s="47"/>
    </row>
    <row r="8186" spans="4:4" x14ac:dyDescent="0.45">
      <c r="D8186" s="47"/>
    </row>
    <row r="8187" spans="4:4" x14ac:dyDescent="0.45">
      <c r="D8187" s="47"/>
    </row>
    <row r="8188" spans="4:4" x14ac:dyDescent="0.45">
      <c r="D8188" s="47"/>
    </row>
    <row r="8189" spans="4:4" x14ac:dyDescent="0.45">
      <c r="D8189" s="47"/>
    </row>
    <row r="8190" spans="4:4" x14ac:dyDescent="0.45">
      <c r="D8190" s="47"/>
    </row>
    <row r="8191" spans="4:4" x14ac:dyDescent="0.45">
      <c r="D8191" s="47"/>
    </row>
    <row r="8192" spans="4:4" x14ac:dyDescent="0.45">
      <c r="D8192" s="47"/>
    </row>
    <row r="8193" spans="4:4" x14ac:dyDescent="0.45">
      <c r="D8193" s="47"/>
    </row>
    <row r="8194" spans="4:4" x14ac:dyDescent="0.45">
      <c r="D8194" s="47"/>
    </row>
    <row r="8195" spans="4:4" x14ac:dyDescent="0.45">
      <c r="D8195" s="47"/>
    </row>
    <row r="8196" spans="4:4" x14ac:dyDescent="0.45">
      <c r="D8196" s="47"/>
    </row>
    <row r="8197" spans="4:4" x14ac:dyDescent="0.45">
      <c r="D8197" s="47"/>
    </row>
    <row r="8198" spans="4:4" x14ac:dyDescent="0.45">
      <c r="D8198" s="47"/>
    </row>
    <row r="8199" spans="4:4" x14ac:dyDescent="0.45">
      <c r="D8199" s="47"/>
    </row>
    <row r="8200" spans="4:4" x14ac:dyDescent="0.45">
      <c r="D8200" s="47"/>
    </row>
    <row r="8201" spans="4:4" x14ac:dyDescent="0.45">
      <c r="D8201" s="47"/>
    </row>
    <row r="8202" spans="4:4" x14ac:dyDescent="0.45">
      <c r="D8202" s="47"/>
    </row>
    <row r="8203" spans="4:4" x14ac:dyDescent="0.45">
      <c r="D8203" s="47"/>
    </row>
    <row r="8204" spans="4:4" x14ac:dyDescent="0.45">
      <c r="D8204" s="47"/>
    </row>
    <row r="8205" spans="4:4" x14ac:dyDescent="0.45">
      <c r="D8205" s="47"/>
    </row>
    <row r="8206" spans="4:4" x14ac:dyDescent="0.45">
      <c r="D8206" s="47"/>
    </row>
    <row r="8207" spans="4:4" x14ac:dyDescent="0.45">
      <c r="D8207" s="47"/>
    </row>
    <row r="8208" spans="4:4" x14ac:dyDescent="0.45">
      <c r="D8208" s="47"/>
    </row>
    <row r="8209" spans="4:4" x14ac:dyDescent="0.45">
      <c r="D8209" s="47"/>
    </row>
    <row r="8210" spans="4:4" x14ac:dyDescent="0.45">
      <c r="D8210" s="47"/>
    </row>
    <row r="8211" spans="4:4" x14ac:dyDescent="0.45">
      <c r="D8211" s="47"/>
    </row>
    <row r="8212" spans="4:4" x14ac:dyDescent="0.45">
      <c r="D8212" s="47"/>
    </row>
    <row r="8213" spans="4:4" x14ac:dyDescent="0.45">
      <c r="D8213" s="47"/>
    </row>
    <row r="8214" spans="4:4" x14ac:dyDescent="0.45">
      <c r="D8214" s="47"/>
    </row>
    <row r="8215" spans="4:4" x14ac:dyDescent="0.45">
      <c r="D8215" s="47"/>
    </row>
    <row r="8216" spans="4:4" x14ac:dyDescent="0.45">
      <c r="D8216" s="47"/>
    </row>
    <row r="8217" spans="4:4" x14ac:dyDescent="0.45">
      <c r="D8217" s="47"/>
    </row>
    <row r="8218" spans="4:4" x14ac:dyDescent="0.45">
      <c r="D8218" s="47"/>
    </row>
    <row r="8219" spans="4:4" x14ac:dyDescent="0.45">
      <c r="D8219" s="47"/>
    </row>
    <row r="8220" spans="4:4" x14ac:dyDescent="0.45">
      <c r="D8220" s="47"/>
    </row>
    <row r="8221" spans="4:4" x14ac:dyDescent="0.45">
      <c r="D8221" s="47"/>
    </row>
    <row r="8222" spans="4:4" x14ac:dyDescent="0.45">
      <c r="D8222" s="47"/>
    </row>
    <row r="8223" spans="4:4" x14ac:dyDescent="0.45">
      <c r="D8223" s="47"/>
    </row>
    <row r="8224" spans="4:4" x14ac:dyDescent="0.45">
      <c r="D8224" s="47"/>
    </row>
    <row r="8225" spans="4:4" x14ac:dyDescent="0.45">
      <c r="D8225" s="47"/>
    </row>
    <row r="8226" spans="4:4" x14ac:dyDescent="0.45">
      <c r="D8226" s="47"/>
    </row>
    <row r="8227" spans="4:4" x14ac:dyDescent="0.45">
      <c r="D8227" s="47"/>
    </row>
    <row r="8228" spans="4:4" x14ac:dyDescent="0.45">
      <c r="D8228" s="47"/>
    </row>
    <row r="8229" spans="4:4" x14ac:dyDescent="0.45">
      <c r="D8229" s="47"/>
    </row>
    <row r="8230" spans="4:4" x14ac:dyDescent="0.45">
      <c r="D8230" s="47"/>
    </row>
    <row r="8231" spans="4:4" x14ac:dyDescent="0.45">
      <c r="D8231" s="47"/>
    </row>
    <row r="8232" spans="4:4" x14ac:dyDescent="0.45">
      <c r="D8232" s="47"/>
    </row>
    <row r="8233" spans="4:4" x14ac:dyDescent="0.45">
      <c r="D8233" s="47"/>
    </row>
    <row r="8234" spans="4:4" x14ac:dyDescent="0.45">
      <c r="D8234" s="47"/>
    </row>
    <row r="8235" spans="4:4" x14ac:dyDescent="0.45">
      <c r="D8235" s="47"/>
    </row>
    <row r="8236" spans="4:4" x14ac:dyDescent="0.45">
      <c r="D8236" s="47"/>
    </row>
    <row r="8237" spans="4:4" x14ac:dyDescent="0.45">
      <c r="D8237" s="47"/>
    </row>
    <row r="8238" spans="4:4" x14ac:dyDescent="0.45">
      <c r="D8238" s="47"/>
    </row>
    <row r="8239" spans="4:4" x14ac:dyDescent="0.45">
      <c r="D8239" s="47"/>
    </row>
    <row r="8240" spans="4:4" x14ac:dyDescent="0.45">
      <c r="D8240" s="47"/>
    </row>
    <row r="8241" spans="4:4" x14ac:dyDescent="0.45">
      <c r="D8241" s="47"/>
    </row>
    <row r="8242" spans="4:4" x14ac:dyDescent="0.45">
      <c r="D8242" s="47"/>
    </row>
    <row r="8243" spans="4:4" x14ac:dyDescent="0.45">
      <c r="D8243" s="47"/>
    </row>
    <row r="8244" spans="4:4" x14ac:dyDescent="0.45">
      <c r="D8244" s="47"/>
    </row>
    <row r="8245" spans="4:4" x14ac:dyDescent="0.45">
      <c r="D8245" s="47"/>
    </row>
    <row r="8246" spans="4:4" x14ac:dyDescent="0.45">
      <c r="D8246" s="47"/>
    </row>
    <row r="8247" spans="4:4" x14ac:dyDescent="0.45">
      <c r="D8247" s="47"/>
    </row>
    <row r="8248" spans="4:4" x14ac:dyDescent="0.45">
      <c r="D8248" s="47"/>
    </row>
    <row r="8249" spans="4:4" x14ac:dyDescent="0.45">
      <c r="D8249" s="47"/>
    </row>
    <row r="8250" spans="4:4" x14ac:dyDescent="0.45">
      <c r="D8250" s="47"/>
    </row>
    <row r="8251" spans="4:4" x14ac:dyDescent="0.45">
      <c r="D8251" s="47"/>
    </row>
    <row r="8252" spans="4:4" x14ac:dyDescent="0.45">
      <c r="D8252" s="47"/>
    </row>
    <row r="8253" spans="4:4" x14ac:dyDescent="0.45">
      <c r="D8253" s="47"/>
    </row>
    <row r="8254" spans="4:4" x14ac:dyDescent="0.45">
      <c r="D8254" s="47"/>
    </row>
    <row r="8255" spans="4:4" x14ac:dyDescent="0.45">
      <c r="D8255" s="47"/>
    </row>
    <row r="8256" spans="4:4" x14ac:dyDescent="0.45">
      <c r="D8256" s="47"/>
    </row>
    <row r="8257" spans="4:4" x14ac:dyDescent="0.45">
      <c r="D8257" s="47"/>
    </row>
    <row r="8258" spans="4:4" x14ac:dyDescent="0.45">
      <c r="D8258" s="47"/>
    </row>
    <row r="8259" spans="4:4" x14ac:dyDescent="0.45">
      <c r="D8259" s="47"/>
    </row>
    <row r="8260" spans="4:4" x14ac:dyDescent="0.45">
      <c r="D8260" s="47"/>
    </row>
    <row r="8261" spans="4:4" x14ac:dyDescent="0.45">
      <c r="D8261" s="47"/>
    </row>
    <row r="8262" spans="4:4" x14ac:dyDescent="0.45">
      <c r="D8262" s="47"/>
    </row>
    <row r="8263" spans="4:4" x14ac:dyDescent="0.45">
      <c r="D8263" s="47"/>
    </row>
    <row r="8264" spans="4:4" x14ac:dyDescent="0.45">
      <c r="D8264" s="47"/>
    </row>
    <row r="8265" spans="4:4" x14ac:dyDescent="0.45">
      <c r="D8265" s="47"/>
    </row>
    <row r="8266" spans="4:4" x14ac:dyDescent="0.45">
      <c r="D8266" s="47"/>
    </row>
    <row r="8267" spans="4:4" x14ac:dyDescent="0.45">
      <c r="D8267" s="47"/>
    </row>
    <row r="8268" spans="4:4" x14ac:dyDescent="0.45">
      <c r="D8268" s="47"/>
    </row>
    <row r="8269" spans="4:4" x14ac:dyDescent="0.45">
      <c r="D8269" s="47"/>
    </row>
    <row r="8270" spans="4:4" x14ac:dyDescent="0.45">
      <c r="D8270" s="47"/>
    </row>
    <row r="8271" spans="4:4" x14ac:dyDescent="0.45">
      <c r="D8271" s="47"/>
    </row>
    <row r="8272" spans="4:4" x14ac:dyDescent="0.45">
      <c r="D8272" s="47"/>
    </row>
    <row r="8273" spans="4:4" x14ac:dyDescent="0.45">
      <c r="D8273" s="47"/>
    </row>
    <row r="8274" spans="4:4" x14ac:dyDescent="0.45">
      <c r="D8274" s="47"/>
    </row>
    <row r="8275" spans="4:4" x14ac:dyDescent="0.45">
      <c r="D8275" s="47"/>
    </row>
    <row r="8276" spans="4:4" x14ac:dyDescent="0.45">
      <c r="D8276" s="47"/>
    </row>
    <row r="8277" spans="4:4" x14ac:dyDescent="0.45">
      <c r="D8277" s="47"/>
    </row>
    <row r="8278" spans="4:4" x14ac:dyDescent="0.45">
      <c r="D8278" s="47"/>
    </row>
    <row r="8279" spans="4:4" x14ac:dyDescent="0.45">
      <c r="D8279" s="47"/>
    </row>
    <row r="8280" spans="4:4" x14ac:dyDescent="0.45">
      <c r="D8280" s="47"/>
    </row>
    <row r="8281" spans="4:4" x14ac:dyDescent="0.45">
      <c r="D8281" s="47"/>
    </row>
    <row r="8282" spans="4:4" x14ac:dyDescent="0.45">
      <c r="D8282" s="47"/>
    </row>
    <row r="8283" spans="4:4" x14ac:dyDescent="0.45">
      <c r="D8283" s="47"/>
    </row>
    <row r="8284" spans="4:4" x14ac:dyDescent="0.45">
      <c r="D8284" s="47"/>
    </row>
    <row r="8285" spans="4:4" x14ac:dyDescent="0.45">
      <c r="D8285" s="47"/>
    </row>
    <row r="8286" spans="4:4" x14ac:dyDescent="0.45">
      <c r="D8286" s="47"/>
    </row>
    <row r="8287" spans="4:4" x14ac:dyDescent="0.45">
      <c r="D8287" s="47"/>
    </row>
    <row r="8288" spans="4:4" x14ac:dyDescent="0.45">
      <c r="D8288" s="47"/>
    </row>
    <row r="8289" spans="4:4" x14ac:dyDescent="0.45">
      <c r="D8289" s="47"/>
    </row>
    <row r="8290" spans="4:4" x14ac:dyDescent="0.45">
      <c r="D8290" s="47"/>
    </row>
    <row r="8291" spans="4:4" x14ac:dyDescent="0.45">
      <c r="D8291" s="47"/>
    </row>
    <row r="8292" spans="4:4" x14ac:dyDescent="0.45">
      <c r="D8292" s="47"/>
    </row>
    <row r="8293" spans="4:4" x14ac:dyDescent="0.45">
      <c r="D8293" s="47"/>
    </row>
    <row r="8294" spans="4:4" x14ac:dyDescent="0.45">
      <c r="D8294" s="47"/>
    </row>
    <row r="8295" spans="4:4" x14ac:dyDescent="0.45">
      <c r="D8295" s="47"/>
    </row>
    <row r="8296" spans="4:4" x14ac:dyDescent="0.45">
      <c r="D8296" s="47"/>
    </row>
    <row r="8297" spans="4:4" x14ac:dyDescent="0.45">
      <c r="D8297" s="47"/>
    </row>
    <row r="8298" spans="4:4" x14ac:dyDescent="0.45">
      <c r="D8298" s="47"/>
    </row>
    <row r="8299" spans="4:4" x14ac:dyDescent="0.45">
      <c r="D8299" s="47"/>
    </row>
    <row r="8300" spans="4:4" x14ac:dyDescent="0.45">
      <c r="D8300" s="47"/>
    </row>
    <row r="8301" spans="4:4" x14ac:dyDescent="0.45">
      <c r="D8301" s="47"/>
    </row>
    <row r="8302" spans="4:4" x14ac:dyDescent="0.45">
      <c r="D8302" s="47"/>
    </row>
    <row r="8303" spans="4:4" x14ac:dyDescent="0.45">
      <c r="D8303" s="47"/>
    </row>
    <row r="8304" spans="4:4" x14ac:dyDescent="0.45">
      <c r="D8304" s="47"/>
    </row>
    <row r="8305" spans="4:4" x14ac:dyDescent="0.45">
      <c r="D8305" s="47"/>
    </row>
    <row r="8306" spans="4:4" x14ac:dyDescent="0.45">
      <c r="D8306" s="47"/>
    </row>
    <row r="8307" spans="4:4" x14ac:dyDescent="0.45">
      <c r="D8307" s="47"/>
    </row>
    <row r="8308" spans="4:4" x14ac:dyDescent="0.45">
      <c r="D8308" s="47"/>
    </row>
    <row r="8309" spans="4:4" x14ac:dyDescent="0.45">
      <c r="D8309" s="47"/>
    </row>
    <row r="8310" spans="4:4" x14ac:dyDescent="0.45">
      <c r="D8310" s="47"/>
    </row>
    <row r="8311" spans="4:4" x14ac:dyDescent="0.45">
      <c r="D8311" s="47"/>
    </row>
    <row r="8312" spans="4:4" x14ac:dyDescent="0.45">
      <c r="D8312" s="47"/>
    </row>
    <row r="8313" spans="4:4" x14ac:dyDescent="0.45">
      <c r="D8313" s="47"/>
    </row>
    <row r="8314" spans="4:4" x14ac:dyDescent="0.45">
      <c r="D8314" s="47"/>
    </row>
    <row r="8315" spans="4:4" x14ac:dyDescent="0.45">
      <c r="D8315" s="47"/>
    </row>
    <row r="8316" spans="4:4" x14ac:dyDescent="0.45">
      <c r="D8316" s="47"/>
    </row>
    <row r="8317" spans="4:4" x14ac:dyDescent="0.45">
      <c r="D8317" s="47"/>
    </row>
    <row r="8318" spans="4:4" x14ac:dyDescent="0.45">
      <c r="D8318" s="47"/>
    </row>
    <row r="8319" spans="4:4" x14ac:dyDescent="0.45">
      <c r="D8319" s="47"/>
    </row>
    <row r="8320" spans="4:4" x14ac:dyDescent="0.45">
      <c r="D8320" s="47"/>
    </row>
    <row r="8321" spans="4:4" x14ac:dyDescent="0.45">
      <c r="D8321" s="47"/>
    </row>
    <row r="8322" spans="4:4" x14ac:dyDescent="0.45">
      <c r="D8322" s="47"/>
    </row>
    <row r="8323" spans="4:4" x14ac:dyDescent="0.45">
      <c r="D8323" s="47"/>
    </row>
    <row r="8324" spans="4:4" x14ac:dyDescent="0.45">
      <c r="D8324" s="47"/>
    </row>
    <row r="8325" spans="4:4" x14ac:dyDescent="0.45">
      <c r="D8325" s="47"/>
    </row>
    <row r="8326" spans="4:4" x14ac:dyDescent="0.45">
      <c r="D8326" s="47"/>
    </row>
    <row r="8327" spans="4:4" x14ac:dyDescent="0.45">
      <c r="D8327" s="47"/>
    </row>
    <row r="8328" spans="4:4" x14ac:dyDescent="0.45">
      <c r="D8328" s="47"/>
    </row>
    <row r="8329" spans="4:4" x14ac:dyDescent="0.45">
      <c r="D8329" s="47"/>
    </row>
    <row r="8330" spans="4:4" x14ac:dyDescent="0.45">
      <c r="D8330" s="47"/>
    </row>
    <row r="8331" spans="4:4" x14ac:dyDescent="0.45">
      <c r="D8331" s="47"/>
    </row>
    <row r="8332" spans="4:4" x14ac:dyDescent="0.45">
      <c r="D8332" s="47"/>
    </row>
    <row r="8333" spans="4:4" x14ac:dyDescent="0.45">
      <c r="D8333" s="47"/>
    </row>
    <row r="8334" spans="4:4" x14ac:dyDescent="0.45">
      <c r="D8334" s="47"/>
    </row>
    <row r="8335" spans="4:4" x14ac:dyDescent="0.45">
      <c r="D8335" s="47"/>
    </row>
    <row r="8336" spans="4:4" x14ac:dyDescent="0.45">
      <c r="D8336" s="47"/>
    </row>
    <row r="8337" spans="4:4" x14ac:dyDescent="0.45">
      <c r="D8337" s="47"/>
    </row>
    <row r="8338" spans="4:4" x14ac:dyDescent="0.45">
      <c r="D8338" s="47"/>
    </row>
    <row r="8339" spans="4:4" x14ac:dyDescent="0.45">
      <c r="D8339" s="47"/>
    </row>
    <row r="8340" spans="4:4" x14ac:dyDescent="0.45">
      <c r="D8340" s="47"/>
    </row>
    <row r="8341" spans="4:4" x14ac:dyDescent="0.45">
      <c r="D8341" s="47"/>
    </row>
    <row r="8342" spans="4:4" x14ac:dyDescent="0.45">
      <c r="D8342" s="47"/>
    </row>
    <row r="8343" spans="4:4" x14ac:dyDescent="0.45">
      <c r="D8343" s="47"/>
    </row>
    <row r="8344" spans="4:4" x14ac:dyDescent="0.45">
      <c r="D8344" s="47"/>
    </row>
    <row r="8345" spans="4:4" x14ac:dyDescent="0.45">
      <c r="D8345" s="47"/>
    </row>
    <row r="8346" spans="4:4" x14ac:dyDescent="0.45">
      <c r="D8346" s="47"/>
    </row>
    <row r="8347" spans="4:4" x14ac:dyDescent="0.45">
      <c r="D8347" s="47"/>
    </row>
    <row r="8348" spans="4:4" x14ac:dyDescent="0.45">
      <c r="D8348" s="47"/>
    </row>
    <row r="8349" spans="4:4" x14ac:dyDescent="0.45">
      <c r="D8349" s="47"/>
    </row>
    <row r="8350" spans="4:4" x14ac:dyDescent="0.45">
      <c r="D8350" s="47"/>
    </row>
    <row r="8351" spans="4:4" x14ac:dyDescent="0.45">
      <c r="D8351" s="47"/>
    </row>
    <row r="8352" spans="4:4" x14ac:dyDescent="0.45">
      <c r="D8352" s="47"/>
    </row>
    <row r="8353" spans="4:4" x14ac:dyDescent="0.45">
      <c r="D8353" s="47"/>
    </row>
    <row r="8354" spans="4:4" x14ac:dyDescent="0.45">
      <c r="D8354" s="47"/>
    </row>
    <row r="8355" spans="4:4" x14ac:dyDescent="0.45">
      <c r="D8355" s="47"/>
    </row>
    <row r="8356" spans="4:4" x14ac:dyDescent="0.45">
      <c r="D8356" s="47"/>
    </row>
    <row r="8357" spans="4:4" x14ac:dyDescent="0.45">
      <c r="D8357" s="47"/>
    </row>
    <row r="8358" spans="4:4" x14ac:dyDescent="0.45">
      <c r="D8358" s="47"/>
    </row>
    <row r="8359" spans="4:4" x14ac:dyDescent="0.45">
      <c r="D8359" s="47"/>
    </row>
    <row r="8360" spans="4:4" x14ac:dyDescent="0.45">
      <c r="D8360" s="47"/>
    </row>
    <row r="8361" spans="4:4" x14ac:dyDescent="0.45">
      <c r="D8361" s="47"/>
    </row>
    <row r="8362" spans="4:4" x14ac:dyDescent="0.45">
      <c r="D8362" s="47"/>
    </row>
    <row r="8363" spans="4:4" x14ac:dyDescent="0.45">
      <c r="D8363" s="47"/>
    </row>
    <row r="8364" spans="4:4" x14ac:dyDescent="0.45">
      <c r="D8364" s="47"/>
    </row>
    <row r="8365" spans="4:4" x14ac:dyDescent="0.45">
      <c r="D8365" s="47"/>
    </row>
    <row r="8366" spans="4:4" x14ac:dyDescent="0.45">
      <c r="D8366" s="47"/>
    </row>
    <row r="8367" spans="4:4" x14ac:dyDescent="0.45">
      <c r="D8367" s="47"/>
    </row>
    <row r="8368" spans="4:4" x14ac:dyDescent="0.45">
      <c r="D8368" s="47"/>
    </row>
    <row r="8369" spans="4:4" x14ac:dyDescent="0.45">
      <c r="D8369" s="47"/>
    </row>
    <row r="8370" spans="4:4" x14ac:dyDescent="0.45">
      <c r="D8370" s="47"/>
    </row>
    <row r="8371" spans="4:4" x14ac:dyDescent="0.45">
      <c r="D8371" s="47"/>
    </row>
    <row r="8372" spans="4:4" x14ac:dyDescent="0.45">
      <c r="D8372" s="47"/>
    </row>
    <row r="8373" spans="4:4" x14ac:dyDescent="0.45">
      <c r="D8373" s="47"/>
    </row>
    <row r="8374" spans="4:4" x14ac:dyDescent="0.45">
      <c r="D8374" s="47"/>
    </row>
    <row r="8375" spans="4:4" x14ac:dyDescent="0.45">
      <c r="D8375" s="47"/>
    </row>
    <row r="8376" spans="4:4" x14ac:dyDescent="0.45">
      <c r="D8376" s="47"/>
    </row>
    <row r="8377" spans="4:4" x14ac:dyDescent="0.45">
      <c r="D8377" s="47"/>
    </row>
    <row r="8378" spans="4:4" x14ac:dyDescent="0.45">
      <c r="D8378" s="47"/>
    </row>
    <row r="8379" spans="4:4" x14ac:dyDescent="0.45">
      <c r="D8379" s="47"/>
    </row>
    <row r="8380" spans="4:4" x14ac:dyDescent="0.45">
      <c r="D8380" s="47"/>
    </row>
    <row r="8381" spans="4:4" x14ac:dyDescent="0.45">
      <c r="D8381" s="47"/>
    </row>
    <row r="8382" spans="4:4" x14ac:dyDescent="0.45">
      <c r="D8382" s="47"/>
    </row>
    <row r="8383" spans="4:4" x14ac:dyDescent="0.45">
      <c r="D8383" s="47"/>
    </row>
    <row r="8384" spans="4:4" x14ac:dyDescent="0.45">
      <c r="D8384" s="47"/>
    </row>
    <row r="8385" spans="4:4" x14ac:dyDescent="0.45">
      <c r="D8385" s="47"/>
    </row>
    <row r="8386" spans="4:4" x14ac:dyDescent="0.45">
      <c r="D8386" s="47"/>
    </row>
    <row r="8387" spans="4:4" x14ac:dyDescent="0.45">
      <c r="D8387" s="47"/>
    </row>
    <row r="8388" spans="4:4" x14ac:dyDescent="0.45">
      <c r="D8388" s="47"/>
    </row>
    <row r="8389" spans="4:4" x14ac:dyDescent="0.45">
      <c r="D8389" s="47"/>
    </row>
    <row r="8390" spans="4:4" x14ac:dyDescent="0.45">
      <c r="D8390" s="47"/>
    </row>
    <row r="8391" spans="4:4" x14ac:dyDescent="0.45">
      <c r="D8391" s="47"/>
    </row>
    <row r="8392" spans="4:4" x14ac:dyDescent="0.45">
      <c r="D8392" s="47"/>
    </row>
    <row r="8393" spans="4:4" x14ac:dyDescent="0.45">
      <c r="D8393" s="47"/>
    </row>
    <row r="8394" spans="4:4" x14ac:dyDescent="0.45">
      <c r="D8394" s="47"/>
    </row>
    <row r="8395" spans="4:4" x14ac:dyDescent="0.45">
      <c r="D8395" s="47"/>
    </row>
    <row r="8396" spans="4:4" x14ac:dyDescent="0.45">
      <c r="D8396" s="47"/>
    </row>
    <row r="8397" spans="4:4" x14ac:dyDescent="0.45">
      <c r="D8397" s="47"/>
    </row>
    <row r="8398" spans="4:4" x14ac:dyDescent="0.45">
      <c r="D8398" s="47"/>
    </row>
    <row r="8399" spans="4:4" x14ac:dyDescent="0.45">
      <c r="D8399" s="47"/>
    </row>
    <row r="8400" spans="4:4" x14ac:dyDescent="0.45">
      <c r="D8400" s="47"/>
    </row>
    <row r="8401" spans="4:4" x14ac:dyDescent="0.45">
      <c r="D8401" s="47"/>
    </row>
    <row r="8402" spans="4:4" x14ac:dyDescent="0.45">
      <c r="D8402" s="47"/>
    </row>
    <row r="8403" spans="4:4" x14ac:dyDescent="0.45">
      <c r="D8403" s="47"/>
    </row>
    <row r="8404" spans="4:4" x14ac:dyDescent="0.45">
      <c r="D8404" s="47"/>
    </row>
    <row r="8405" spans="4:4" x14ac:dyDescent="0.45">
      <c r="D8405" s="47"/>
    </row>
    <row r="8406" spans="4:4" x14ac:dyDescent="0.45">
      <c r="D8406" s="47"/>
    </row>
    <row r="8407" spans="4:4" x14ac:dyDescent="0.45">
      <c r="D8407" s="47"/>
    </row>
    <row r="8408" spans="4:4" x14ac:dyDescent="0.45">
      <c r="D8408" s="47"/>
    </row>
    <row r="8409" spans="4:4" x14ac:dyDescent="0.45">
      <c r="D8409" s="47"/>
    </row>
    <row r="8410" spans="4:4" x14ac:dyDescent="0.45">
      <c r="D8410" s="47"/>
    </row>
    <row r="8411" spans="4:4" x14ac:dyDescent="0.45">
      <c r="D8411" s="47"/>
    </row>
    <row r="8412" spans="4:4" x14ac:dyDescent="0.45">
      <c r="D8412" s="47"/>
    </row>
    <row r="8413" spans="4:4" x14ac:dyDescent="0.45">
      <c r="D8413" s="47"/>
    </row>
    <row r="8414" spans="4:4" x14ac:dyDescent="0.45">
      <c r="D8414" s="47"/>
    </row>
    <row r="8415" spans="4:4" x14ac:dyDescent="0.45">
      <c r="D8415" s="47"/>
    </row>
    <row r="8416" spans="4:4" x14ac:dyDescent="0.45">
      <c r="D8416" s="47"/>
    </row>
    <row r="8417" spans="4:4" x14ac:dyDescent="0.45">
      <c r="D8417" s="47"/>
    </row>
    <row r="8418" spans="4:4" x14ac:dyDescent="0.45">
      <c r="D8418" s="47"/>
    </row>
    <row r="8419" spans="4:4" x14ac:dyDescent="0.45">
      <c r="D8419" s="47"/>
    </row>
    <row r="8420" spans="4:4" x14ac:dyDescent="0.45">
      <c r="D8420" s="47"/>
    </row>
    <row r="8421" spans="4:4" x14ac:dyDescent="0.45">
      <c r="D8421" s="47"/>
    </row>
    <row r="8422" spans="4:4" x14ac:dyDescent="0.45">
      <c r="D8422" s="47"/>
    </row>
    <row r="8423" spans="4:4" x14ac:dyDescent="0.45">
      <c r="D8423" s="47"/>
    </row>
    <row r="8424" spans="4:4" x14ac:dyDescent="0.45">
      <c r="D8424" s="47"/>
    </row>
    <row r="8425" spans="4:4" x14ac:dyDescent="0.45">
      <c r="D8425" s="47"/>
    </row>
    <row r="8426" spans="4:4" x14ac:dyDescent="0.45">
      <c r="D8426" s="47"/>
    </row>
    <row r="8427" spans="4:4" x14ac:dyDescent="0.45">
      <c r="D8427" s="47"/>
    </row>
    <row r="8428" spans="4:4" x14ac:dyDescent="0.45">
      <c r="D8428" s="47"/>
    </row>
    <row r="8429" spans="4:4" x14ac:dyDescent="0.45">
      <c r="D8429" s="47"/>
    </row>
    <row r="8430" spans="4:4" x14ac:dyDescent="0.45">
      <c r="D8430" s="47"/>
    </row>
    <row r="8431" spans="4:4" x14ac:dyDescent="0.45">
      <c r="D8431" s="47"/>
    </row>
    <row r="8432" spans="4:4" x14ac:dyDescent="0.45">
      <c r="D8432" s="47"/>
    </row>
    <row r="8433" spans="4:4" x14ac:dyDescent="0.45">
      <c r="D8433" s="47"/>
    </row>
    <row r="8434" spans="4:4" x14ac:dyDescent="0.45">
      <c r="D8434" s="47"/>
    </row>
    <row r="8435" spans="4:4" x14ac:dyDescent="0.45">
      <c r="D8435" s="47"/>
    </row>
    <row r="8436" spans="4:4" x14ac:dyDescent="0.45">
      <c r="D8436" s="47"/>
    </row>
    <row r="8437" spans="4:4" x14ac:dyDescent="0.45">
      <c r="D8437" s="47"/>
    </row>
    <row r="8438" spans="4:4" x14ac:dyDescent="0.45">
      <c r="D8438" s="47"/>
    </row>
    <row r="8439" spans="4:4" x14ac:dyDescent="0.45">
      <c r="D8439" s="47"/>
    </row>
    <row r="8440" spans="4:4" x14ac:dyDescent="0.45">
      <c r="D8440" s="47"/>
    </row>
    <row r="8441" spans="4:4" x14ac:dyDescent="0.45">
      <c r="D8441" s="47"/>
    </row>
    <row r="8442" spans="4:4" x14ac:dyDescent="0.45">
      <c r="D8442" s="47"/>
    </row>
    <row r="8443" spans="4:4" x14ac:dyDescent="0.45">
      <c r="D8443" s="47"/>
    </row>
    <row r="8444" spans="4:4" x14ac:dyDescent="0.45">
      <c r="D8444" s="47"/>
    </row>
    <row r="8445" spans="4:4" x14ac:dyDescent="0.45">
      <c r="D8445" s="47"/>
    </row>
    <row r="8446" spans="4:4" x14ac:dyDescent="0.45">
      <c r="D8446" s="47"/>
    </row>
    <row r="8447" spans="4:4" x14ac:dyDescent="0.45">
      <c r="D8447" s="47"/>
    </row>
    <row r="8448" spans="4:4" x14ac:dyDescent="0.45">
      <c r="D8448" s="47"/>
    </row>
    <row r="8449" spans="4:4" x14ac:dyDescent="0.45">
      <c r="D8449" s="47"/>
    </row>
    <row r="8450" spans="4:4" x14ac:dyDescent="0.45">
      <c r="D8450" s="47"/>
    </row>
    <row r="8451" spans="4:4" x14ac:dyDescent="0.45">
      <c r="D8451" s="47"/>
    </row>
    <row r="8452" spans="4:4" x14ac:dyDescent="0.45">
      <c r="D8452" s="47"/>
    </row>
    <row r="8453" spans="4:4" x14ac:dyDescent="0.45">
      <c r="D8453" s="47"/>
    </row>
    <row r="8454" spans="4:4" x14ac:dyDescent="0.45">
      <c r="D8454" s="47"/>
    </row>
    <row r="8455" spans="4:4" x14ac:dyDescent="0.45">
      <c r="D8455" s="47"/>
    </row>
    <row r="8456" spans="4:4" x14ac:dyDescent="0.45">
      <c r="D8456" s="47"/>
    </row>
    <row r="8457" spans="4:4" x14ac:dyDescent="0.45">
      <c r="D8457" s="47"/>
    </row>
    <row r="8458" spans="4:4" x14ac:dyDescent="0.45">
      <c r="D8458" s="47"/>
    </row>
    <row r="8459" spans="4:4" x14ac:dyDescent="0.45">
      <c r="D8459" s="47"/>
    </row>
    <row r="8460" spans="4:4" x14ac:dyDescent="0.45">
      <c r="D8460" s="47"/>
    </row>
    <row r="8461" spans="4:4" x14ac:dyDescent="0.45">
      <c r="D8461" s="47"/>
    </row>
    <row r="8462" spans="4:4" x14ac:dyDescent="0.45">
      <c r="D8462" s="47"/>
    </row>
    <row r="8463" spans="4:4" x14ac:dyDescent="0.45">
      <c r="D8463" s="47"/>
    </row>
    <row r="8464" spans="4:4" x14ac:dyDescent="0.45">
      <c r="D8464" s="47"/>
    </row>
    <row r="8465" spans="4:4" x14ac:dyDescent="0.45">
      <c r="D8465" s="47"/>
    </row>
    <row r="8466" spans="4:4" x14ac:dyDescent="0.45">
      <c r="D8466" s="47"/>
    </row>
    <row r="8467" spans="4:4" x14ac:dyDescent="0.45">
      <c r="D8467" s="47"/>
    </row>
    <row r="8468" spans="4:4" x14ac:dyDescent="0.45">
      <c r="D8468" s="47"/>
    </row>
    <row r="8469" spans="4:4" x14ac:dyDescent="0.45">
      <c r="D8469" s="47"/>
    </row>
    <row r="8470" spans="4:4" x14ac:dyDescent="0.45">
      <c r="D8470" s="47"/>
    </row>
    <row r="8471" spans="4:4" x14ac:dyDescent="0.45">
      <c r="D8471" s="47"/>
    </row>
    <row r="8472" spans="4:4" x14ac:dyDescent="0.45">
      <c r="D8472" s="47"/>
    </row>
    <row r="8473" spans="4:4" x14ac:dyDescent="0.45">
      <c r="D8473" s="47"/>
    </row>
    <row r="8474" spans="4:4" x14ac:dyDescent="0.45">
      <c r="D8474" s="47"/>
    </row>
    <row r="8475" spans="4:4" x14ac:dyDescent="0.45">
      <c r="D8475" s="47"/>
    </row>
    <row r="8476" spans="4:4" x14ac:dyDescent="0.45">
      <c r="D8476" s="47"/>
    </row>
    <row r="8477" spans="4:4" x14ac:dyDescent="0.45">
      <c r="D8477" s="47"/>
    </row>
    <row r="8478" spans="4:4" x14ac:dyDescent="0.45">
      <c r="D8478" s="47"/>
    </row>
    <row r="8479" spans="4:4" x14ac:dyDescent="0.45">
      <c r="D8479" s="47"/>
    </row>
    <row r="8480" spans="4:4" x14ac:dyDescent="0.45">
      <c r="D8480" s="47"/>
    </row>
    <row r="8481" spans="4:4" x14ac:dyDescent="0.45">
      <c r="D8481" s="47"/>
    </row>
    <row r="8482" spans="4:4" x14ac:dyDescent="0.45">
      <c r="D8482" s="47"/>
    </row>
    <row r="8483" spans="4:4" x14ac:dyDescent="0.45">
      <c r="D8483" s="47"/>
    </row>
    <row r="8484" spans="4:4" x14ac:dyDescent="0.45">
      <c r="D8484" s="47"/>
    </row>
    <row r="8485" spans="4:4" x14ac:dyDescent="0.45">
      <c r="D8485" s="47"/>
    </row>
    <row r="8486" spans="4:4" x14ac:dyDescent="0.45">
      <c r="D8486" s="47"/>
    </row>
    <row r="8487" spans="4:4" x14ac:dyDescent="0.45">
      <c r="D8487" s="47"/>
    </row>
    <row r="8488" spans="4:4" x14ac:dyDescent="0.45">
      <c r="D8488" s="47"/>
    </row>
    <row r="8489" spans="4:4" x14ac:dyDescent="0.45">
      <c r="D8489" s="47"/>
    </row>
    <row r="8490" spans="4:4" x14ac:dyDescent="0.45">
      <c r="D8490" s="47"/>
    </row>
    <row r="8491" spans="4:4" x14ac:dyDescent="0.45">
      <c r="D8491" s="47"/>
    </row>
    <row r="8492" spans="4:4" x14ac:dyDescent="0.45">
      <c r="D8492" s="47"/>
    </row>
    <row r="8493" spans="4:4" x14ac:dyDescent="0.45">
      <c r="D8493" s="47"/>
    </row>
    <row r="8494" spans="4:4" x14ac:dyDescent="0.45">
      <c r="D8494" s="47"/>
    </row>
    <row r="8495" spans="4:4" x14ac:dyDescent="0.45">
      <c r="D8495" s="47"/>
    </row>
    <row r="8496" spans="4:4" x14ac:dyDescent="0.45">
      <c r="D8496" s="47"/>
    </row>
    <row r="8497" spans="4:4" x14ac:dyDescent="0.45">
      <c r="D8497" s="47"/>
    </row>
    <row r="8498" spans="4:4" x14ac:dyDescent="0.45">
      <c r="D8498" s="47"/>
    </row>
    <row r="8499" spans="4:4" x14ac:dyDescent="0.45">
      <c r="D8499" s="47"/>
    </row>
    <row r="8500" spans="4:4" x14ac:dyDescent="0.45">
      <c r="D8500" s="47"/>
    </row>
    <row r="8501" spans="4:4" x14ac:dyDescent="0.45">
      <c r="D8501" s="47"/>
    </row>
    <row r="8502" spans="4:4" x14ac:dyDescent="0.45">
      <c r="D8502" s="47"/>
    </row>
    <row r="8503" spans="4:4" x14ac:dyDescent="0.45">
      <c r="D8503" s="47"/>
    </row>
    <row r="8504" spans="4:4" x14ac:dyDescent="0.45">
      <c r="D8504" s="47"/>
    </row>
    <row r="8505" spans="4:4" x14ac:dyDescent="0.45">
      <c r="D8505" s="47"/>
    </row>
    <row r="8506" spans="4:4" x14ac:dyDescent="0.45">
      <c r="D8506" s="47"/>
    </row>
    <row r="8507" spans="4:4" x14ac:dyDescent="0.45">
      <c r="D8507" s="47"/>
    </row>
    <row r="8508" spans="4:4" x14ac:dyDescent="0.45">
      <c r="D8508" s="47"/>
    </row>
    <row r="8509" spans="4:4" x14ac:dyDescent="0.45">
      <c r="D8509" s="47"/>
    </row>
    <row r="8510" spans="4:4" x14ac:dyDescent="0.45">
      <c r="D8510" s="47"/>
    </row>
    <row r="8511" spans="4:4" x14ac:dyDescent="0.45">
      <c r="D8511" s="47"/>
    </row>
    <row r="8512" spans="4:4" x14ac:dyDescent="0.45">
      <c r="D8512" s="47"/>
    </row>
    <row r="8513" spans="4:4" x14ac:dyDescent="0.45">
      <c r="D8513" s="47"/>
    </row>
    <row r="8514" spans="4:4" x14ac:dyDescent="0.45">
      <c r="D8514" s="47"/>
    </row>
    <row r="8515" spans="4:4" x14ac:dyDescent="0.45">
      <c r="D8515" s="47"/>
    </row>
    <row r="8516" spans="4:4" x14ac:dyDescent="0.45">
      <c r="D8516" s="47"/>
    </row>
    <row r="8517" spans="4:4" x14ac:dyDescent="0.45">
      <c r="D8517" s="47"/>
    </row>
    <row r="8518" spans="4:4" x14ac:dyDescent="0.45">
      <c r="D8518" s="47"/>
    </row>
    <row r="8519" spans="4:4" x14ac:dyDescent="0.45">
      <c r="D8519" s="47"/>
    </row>
    <row r="8520" spans="4:4" x14ac:dyDescent="0.45">
      <c r="D8520" s="47"/>
    </row>
    <row r="8521" spans="4:4" x14ac:dyDescent="0.45">
      <c r="D8521" s="47"/>
    </row>
    <row r="8522" spans="4:4" x14ac:dyDescent="0.45">
      <c r="D8522" s="47"/>
    </row>
    <row r="8523" spans="4:4" x14ac:dyDescent="0.45">
      <c r="D8523" s="47"/>
    </row>
    <row r="8524" spans="4:4" x14ac:dyDescent="0.45">
      <c r="D8524" s="47"/>
    </row>
    <row r="8525" spans="4:4" x14ac:dyDescent="0.45">
      <c r="D8525" s="47"/>
    </row>
    <row r="8526" spans="4:4" x14ac:dyDescent="0.45">
      <c r="D8526" s="47"/>
    </row>
    <row r="8527" spans="4:4" x14ac:dyDescent="0.45">
      <c r="D8527" s="47"/>
    </row>
    <row r="8528" spans="4:4" x14ac:dyDescent="0.45">
      <c r="D8528" s="47"/>
    </row>
    <row r="8529" spans="4:4" x14ac:dyDescent="0.45">
      <c r="D8529" s="47"/>
    </row>
    <row r="8530" spans="4:4" x14ac:dyDescent="0.45">
      <c r="D8530" s="47"/>
    </row>
    <row r="8531" spans="4:4" x14ac:dyDescent="0.45">
      <c r="D8531" s="47"/>
    </row>
    <row r="8532" spans="4:4" x14ac:dyDescent="0.45">
      <c r="D8532" s="47"/>
    </row>
    <row r="8533" spans="4:4" x14ac:dyDescent="0.45">
      <c r="D8533" s="47"/>
    </row>
    <row r="8534" spans="4:4" x14ac:dyDescent="0.45">
      <c r="D8534" s="47"/>
    </row>
    <row r="8535" spans="4:4" x14ac:dyDescent="0.45">
      <c r="D8535" s="47"/>
    </row>
    <row r="8536" spans="4:4" x14ac:dyDescent="0.45">
      <c r="D8536" s="47"/>
    </row>
    <row r="8537" spans="4:4" x14ac:dyDescent="0.45">
      <c r="D8537" s="47"/>
    </row>
    <row r="8538" spans="4:4" x14ac:dyDescent="0.45">
      <c r="D8538" s="47"/>
    </row>
    <row r="8539" spans="4:4" x14ac:dyDescent="0.45">
      <c r="D8539" s="47"/>
    </row>
    <row r="8540" spans="4:4" x14ac:dyDescent="0.45">
      <c r="D8540" s="47"/>
    </row>
    <row r="8541" spans="4:4" x14ac:dyDescent="0.45">
      <c r="D8541" s="47"/>
    </row>
    <row r="8542" spans="4:4" x14ac:dyDescent="0.45">
      <c r="D8542" s="47"/>
    </row>
    <row r="8543" spans="4:4" x14ac:dyDescent="0.45">
      <c r="D8543" s="47"/>
    </row>
    <row r="8544" spans="4:4" x14ac:dyDescent="0.45">
      <c r="D8544" s="47"/>
    </row>
    <row r="8545" spans="4:4" x14ac:dyDescent="0.45">
      <c r="D8545" s="47"/>
    </row>
    <row r="8546" spans="4:4" x14ac:dyDescent="0.45">
      <c r="D8546" s="47"/>
    </row>
    <row r="8547" spans="4:4" x14ac:dyDescent="0.45">
      <c r="D8547" s="47"/>
    </row>
    <row r="8548" spans="4:4" x14ac:dyDescent="0.45">
      <c r="D8548" s="47"/>
    </row>
    <row r="8549" spans="4:4" x14ac:dyDescent="0.45">
      <c r="D8549" s="47"/>
    </row>
    <row r="8550" spans="4:4" x14ac:dyDescent="0.45">
      <c r="D8550" s="47"/>
    </row>
    <row r="8551" spans="4:4" x14ac:dyDescent="0.45">
      <c r="D8551" s="47"/>
    </row>
    <row r="8552" spans="4:4" x14ac:dyDescent="0.45">
      <c r="D8552" s="47"/>
    </row>
    <row r="8553" spans="4:4" x14ac:dyDescent="0.45">
      <c r="D8553" s="47"/>
    </row>
    <row r="8554" spans="4:4" x14ac:dyDescent="0.45">
      <c r="D8554" s="47"/>
    </row>
    <row r="8555" spans="4:4" x14ac:dyDescent="0.45">
      <c r="D8555" s="47"/>
    </row>
    <row r="8556" spans="4:4" x14ac:dyDescent="0.45">
      <c r="D8556" s="47"/>
    </row>
    <row r="8557" spans="4:4" x14ac:dyDescent="0.45">
      <c r="D8557" s="47"/>
    </row>
    <row r="8558" spans="4:4" x14ac:dyDescent="0.45">
      <c r="D8558" s="47"/>
    </row>
    <row r="8559" spans="4:4" x14ac:dyDescent="0.45">
      <c r="D8559" s="47"/>
    </row>
    <row r="8560" spans="4:4" x14ac:dyDescent="0.45">
      <c r="D8560" s="47"/>
    </row>
    <row r="8561" spans="4:4" x14ac:dyDescent="0.45">
      <c r="D8561" s="47"/>
    </row>
    <row r="8562" spans="4:4" x14ac:dyDescent="0.45">
      <c r="D8562" s="47"/>
    </row>
    <row r="8563" spans="4:4" x14ac:dyDescent="0.45">
      <c r="D8563" s="47"/>
    </row>
    <row r="8564" spans="4:4" x14ac:dyDescent="0.45">
      <c r="D8564" s="47"/>
    </row>
    <row r="8565" spans="4:4" x14ac:dyDescent="0.45">
      <c r="D8565" s="47"/>
    </row>
    <row r="8566" spans="4:4" x14ac:dyDescent="0.45">
      <c r="D8566" s="47"/>
    </row>
    <row r="8567" spans="4:4" x14ac:dyDescent="0.45">
      <c r="D8567" s="47"/>
    </row>
    <row r="8568" spans="4:4" x14ac:dyDescent="0.45">
      <c r="D8568" s="47"/>
    </row>
    <row r="8569" spans="4:4" x14ac:dyDescent="0.45">
      <c r="D8569" s="47"/>
    </row>
    <row r="8570" spans="4:4" x14ac:dyDescent="0.45">
      <c r="D8570" s="47"/>
    </row>
    <row r="8571" spans="4:4" x14ac:dyDescent="0.45">
      <c r="D8571" s="47"/>
    </row>
    <row r="8572" spans="4:4" x14ac:dyDescent="0.45">
      <c r="D8572" s="47"/>
    </row>
    <row r="8573" spans="4:4" x14ac:dyDescent="0.45">
      <c r="D8573" s="47"/>
    </row>
    <row r="8574" spans="4:4" x14ac:dyDescent="0.45">
      <c r="D8574" s="47"/>
    </row>
    <row r="8575" spans="4:4" x14ac:dyDescent="0.45">
      <c r="D8575" s="47"/>
    </row>
    <row r="8576" spans="4:4" x14ac:dyDescent="0.45">
      <c r="D8576" s="47"/>
    </row>
    <row r="8577" spans="4:4" x14ac:dyDescent="0.45">
      <c r="D8577" s="47"/>
    </row>
    <row r="8578" spans="4:4" x14ac:dyDescent="0.45">
      <c r="D8578" s="47"/>
    </row>
    <row r="8579" spans="4:4" x14ac:dyDescent="0.45">
      <c r="D8579" s="47"/>
    </row>
    <row r="8580" spans="4:4" x14ac:dyDescent="0.45">
      <c r="D8580" s="47"/>
    </row>
    <row r="8581" spans="4:4" x14ac:dyDescent="0.45">
      <c r="D8581" s="47"/>
    </row>
    <row r="8582" spans="4:4" x14ac:dyDescent="0.45">
      <c r="D8582" s="47"/>
    </row>
    <row r="8583" spans="4:4" x14ac:dyDescent="0.45">
      <c r="D8583" s="47"/>
    </row>
    <row r="8584" spans="4:4" x14ac:dyDescent="0.45">
      <c r="D8584" s="47"/>
    </row>
    <row r="8585" spans="4:4" x14ac:dyDescent="0.45">
      <c r="D8585" s="47"/>
    </row>
    <row r="8586" spans="4:4" x14ac:dyDescent="0.45">
      <c r="D8586" s="47"/>
    </row>
    <row r="8587" spans="4:4" x14ac:dyDescent="0.45">
      <c r="D8587" s="47"/>
    </row>
    <row r="8588" spans="4:4" x14ac:dyDescent="0.45">
      <c r="D8588" s="47"/>
    </row>
    <row r="8589" spans="4:4" x14ac:dyDescent="0.45">
      <c r="D8589" s="47"/>
    </row>
    <row r="8590" spans="4:4" x14ac:dyDescent="0.45">
      <c r="D8590" s="47"/>
    </row>
    <row r="8591" spans="4:4" x14ac:dyDescent="0.45">
      <c r="D8591" s="47"/>
    </row>
    <row r="8592" spans="4:4" x14ac:dyDescent="0.45">
      <c r="D8592" s="47"/>
    </row>
    <row r="8593" spans="4:4" x14ac:dyDescent="0.45">
      <c r="D8593" s="47"/>
    </row>
    <row r="8594" spans="4:4" x14ac:dyDescent="0.45">
      <c r="D8594" s="47"/>
    </row>
    <row r="8595" spans="4:4" x14ac:dyDescent="0.45">
      <c r="D8595" s="47"/>
    </row>
    <row r="8596" spans="4:4" x14ac:dyDescent="0.45">
      <c r="D8596" s="47"/>
    </row>
    <row r="8597" spans="4:4" x14ac:dyDescent="0.45">
      <c r="D8597" s="47"/>
    </row>
    <row r="8598" spans="4:4" x14ac:dyDescent="0.45">
      <c r="D8598" s="47"/>
    </row>
    <row r="8599" spans="4:4" x14ac:dyDescent="0.45">
      <c r="D8599" s="47"/>
    </row>
    <row r="8600" spans="4:4" x14ac:dyDescent="0.45">
      <c r="D8600" s="47"/>
    </row>
    <row r="8601" spans="4:4" x14ac:dyDescent="0.45">
      <c r="D8601" s="47"/>
    </row>
    <row r="8602" spans="4:4" x14ac:dyDescent="0.45">
      <c r="D8602" s="47"/>
    </row>
    <row r="8603" spans="4:4" x14ac:dyDescent="0.45">
      <c r="D8603" s="47"/>
    </row>
    <row r="8604" spans="4:4" x14ac:dyDescent="0.45">
      <c r="D8604" s="47"/>
    </row>
    <row r="8605" spans="4:4" x14ac:dyDescent="0.45">
      <c r="D8605" s="47"/>
    </row>
    <row r="8606" spans="4:4" x14ac:dyDescent="0.45">
      <c r="D8606" s="47"/>
    </row>
    <row r="8607" spans="4:4" x14ac:dyDescent="0.45">
      <c r="D8607" s="47"/>
    </row>
    <row r="8608" spans="4:4" x14ac:dyDescent="0.45">
      <c r="D8608" s="47"/>
    </row>
    <row r="8609" spans="4:4" x14ac:dyDescent="0.45">
      <c r="D8609" s="47"/>
    </row>
    <row r="8610" spans="4:4" x14ac:dyDescent="0.45">
      <c r="D8610" s="47"/>
    </row>
    <row r="8611" spans="4:4" x14ac:dyDescent="0.45">
      <c r="D8611" s="47"/>
    </row>
    <row r="8612" spans="4:4" x14ac:dyDescent="0.45">
      <c r="D8612" s="47"/>
    </row>
    <row r="8613" spans="4:4" x14ac:dyDescent="0.45">
      <c r="D8613" s="47"/>
    </row>
    <row r="8614" spans="4:4" x14ac:dyDescent="0.45">
      <c r="D8614" s="47"/>
    </row>
    <row r="8615" spans="4:4" x14ac:dyDescent="0.45">
      <c r="D8615" s="47"/>
    </row>
    <row r="8616" spans="4:4" x14ac:dyDescent="0.45">
      <c r="D8616" s="47"/>
    </row>
    <row r="8617" spans="4:4" x14ac:dyDescent="0.45">
      <c r="D8617" s="47"/>
    </row>
    <row r="8618" spans="4:4" x14ac:dyDescent="0.45">
      <c r="D8618" s="47"/>
    </row>
    <row r="8619" spans="4:4" x14ac:dyDescent="0.45">
      <c r="D8619" s="47"/>
    </row>
    <row r="8620" spans="4:4" x14ac:dyDescent="0.45">
      <c r="D8620" s="47"/>
    </row>
    <row r="8621" spans="4:4" x14ac:dyDescent="0.45">
      <c r="D8621" s="47"/>
    </row>
    <row r="8622" spans="4:4" x14ac:dyDescent="0.45">
      <c r="D8622" s="47"/>
    </row>
    <row r="8623" spans="4:4" x14ac:dyDescent="0.45">
      <c r="D8623" s="47"/>
    </row>
    <row r="8624" spans="4:4" x14ac:dyDescent="0.45">
      <c r="D8624" s="47"/>
    </row>
    <row r="8625" spans="4:4" x14ac:dyDescent="0.45">
      <c r="D8625" s="47"/>
    </row>
    <row r="8626" spans="4:4" x14ac:dyDescent="0.45">
      <c r="D8626" s="47"/>
    </row>
    <row r="8627" spans="4:4" x14ac:dyDescent="0.45">
      <c r="D8627" s="47"/>
    </row>
    <row r="8628" spans="4:4" x14ac:dyDescent="0.45">
      <c r="D8628" s="47"/>
    </row>
    <row r="8629" spans="4:4" x14ac:dyDescent="0.45">
      <c r="D8629" s="47"/>
    </row>
    <row r="8630" spans="4:4" x14ac:dyDescent="0.45">
      <c r="D8630" s="47"/>
    </row>
    <row r="8631" spans="4:4" x14ac:dyDescent="0.45">
      <c r="D8631" s="47"/>
    </row>
    <row r="8632" spans="4:4" x14ac:dyDescent="0.45">
      <c r="D8632" s="47"/>
    </row>
    <row r="8633" spans="4:4" x14ac:dyDescent="0.45">
      <c r="D8633" s="47"/>
    </row>
    <row r="8634" spans="4:4" x14ac:dyDescent="0.45">
      <c r="D8634" s="47"/>
    </row>
    <row r="8635" spans="4:4" x14ac:dyDescent="0.45">
      <c r="D8635" s="47"/>
    </row>
    <row r="8636" spans="4:4" x14ac:dyDescent="0.45">
      <c r="D8636" s="47"/>
    </row>
    <row r="8637" spans="4:4" x14ac:dyDescent="0.45">
      <c r="D8637" s="47"/>
    </row>
    <row r="8638" spans="4:4" x14ac:dyDescent="0.45">
      <c r="D8638" s="47"/>
    </row>
    <row r="8639" spans="4:4" x14ac:dyDescent="0.45">
      <c r="D8639" s="47"/>
    </row>
    <row r="8640" spans="4:4" x14ac:dyDescent="0.45">
      <c r="D8640" s="47"/>
    </row>
    <row r="8641" spans="4:4" x14ac:dyDescent="0.45">
      <c r="D8641" s="47"/>
    </row>
    <row r="8642" spans="4:4" x14ac:dyDescent="0.45">
      <c r="D8642" s="47"/>
    </row>
    <row r="8643" spans="4:4" x14ac:dyDescent="0.45">
      <c r="D8643" s="47"/>
    </row>
    <row r="8644" spans="4:4" x14ac:dyDescent="0.45">
      <c r="D8644" s="47"/>
    </row>
    <row r="8645" spans="4:4" x14ac:dyDescent="0.45">
      <c r="D8645" s="47"/>
    </row>
    <row r="8646" spans="4:4" x14ac:dyDescent="0.45">
      <c r="D8646" s="47"/>
    </row>
    <row r="8647" spans="4:4" x14ac:dyDescent="0.45">
      <c r="D8647" s="47"/>
    </row>
    <row r="8648" spans="4:4" x14ac:dyDescent="0.45">
      <c r="D8648" s="47"/>
    </row>
    <row r="8649" spans="4:4" x14ac:dyDescent="0.45">
      <c r="D8649" s="47"/>
    </row>
    <row r="8650" spans="4:4" x14ac:dyDescent="0.45">
      <c r="D8650" s="47"/>
    </row>
    <row r="8651" spans="4:4" x14ac:dyDescent="0.45">
      <c r="D8651" s="47"/>
    </row>
    <row r="8652" spans="4:4" x14ac:dyDescent="0.45">
      <c r="D8652" s="47"/>
    </row>
    <row r="8653" spans="4:4" x14ac:dyDescent="0.45">
      <c r="D8653" s="47"/>
    </row>
    <row r="8654" spans="4:4" x14ac:dyDescent="0.45">
      <c r="D8654" s="47"/>
    </row>
    <row r="8655" spans="4:4" x14ac:dyDescent="0.45">
      <c r="D8655" s="47"/>
    </row>
    <row r="8656" spans="4:4" x14ac:dyDescent="0.45">
      <c r="D8656" s="47"/>
    </row>
    <row r="8657" spans="4:4" x14ac:dyDescent="0.45">
      <c r="D8657" s="47"/>
    </row>
    <row r="8658" spans="4:4" x14ac:dyDescent="0.45">
      <c r="D8658" s="47"/>
    </row>
    <row r="8659" spans="4:4" x14ac:dyDescent="0.45">
      <c r="D8659" s="47"/>
    </row>
    <row r="8660" spans="4:4" x14ac:dyDescent="0.45">
      <c r="D8660" s="47"/>
    </row>
    <row r="8661" spans="4:4" x14ac:dyDescent="0.45">
      <c r="D8661" s="47"/>
    </row>
    <row r="8662" spans="4:4" x14ac:dyDescent="0.45">
      <c r="D8662" s="47"/>
    </row>
    <row r="8663" spans="4:4" x14ac:dyDescent="0.45">
      <c r="D8663" s="47"/>
    </row>
    <row r="8664" spans="4:4" x14ac:dyDescent="0.45">
      <c r="D8664" s="47"/>
    </row>
    <row r="8665" spans="4:4" x14ac:dyDescent="0.45">
      <c r="D8665" s="47"/>
    </row>
    <row r="8666" spans="4:4" x14ac:dyDescent="0.45">
      <c r="D8666" s="47"/>
    </row>
    <row r="8667" spans="4:4" x14ac:dyDescent="0.45">
      <c r="D8667" s="47"/>
    </row>
    <row r="8668" spans="4:4" x14ac:dyDescent="0.45">
      <c r="D8668" s="47"/>
    </row>
    <row r="8669" spans="4:4" x14ac:dyDescent="0.45">
      <c r="D8669" s="47"/>
    </row>
    <row r="8670" spans="4:4" x14ac:dyDescent="0.45">
      <c r="D8670" s="47"/>
    </row>
    <row r="8671" spans="4:4" x14ac:dyDescent="0.45">
      <c r="D8671" s="47"/>
    </row>
    <row r="8672" spans="4:4" x14ac:dyDescent="0.45">
      <c r="D8672" s="47"/>
    </row>
    <row r="8673" spans="4:4" x14ac:dyDescent="0.45">
      <c r="D8673" s="47"/>
    </row>
    <row r="8674" spans="4:4" x14ac:dyDescent="0.45">
      <c r="D8674" s="47"/>
    </row>
    <row r="8675" spans="4:4" x14ac:dyDescent="0.45">
      <c r="D8675" s="47"/>
    </row>
    <row r="8676" spans="4:4" x14ac:dyDescent="0.45">
      <c r="D8676" s="47"/>
    </row>
    <row r="8677" spans="4:4" x14ac:dyDescent="0.45">
      <c r="D8677" s="47"/>
    </row>
    <row r="8678" spans="4:4" x14ac:dyDescent="0.45">
      <c r="D8678" s="47"/>
    </row>
    <row r="8679" spans="4:4" x14ac:dyDescent="0.45">
      <c r="D8679" s="47"/>
    </row>
    <row r="8680" spans="4:4" x14ac:dyDescent="0.45">
      <c r="D8680" s="47"/>
    </row>
    <row r="8681" spans="4:4" x14ac:dyDescent="0.45">
      <c r="D8681" s="47"/>
    </row>
    <row r="8682" spans="4:4" x14ac:dyDescent="0.45">
      <c r="D8682" s="47"/>
    </row>
    <row r="8683" spans="4:4" x14ac:dyDescent="0.45">
      <c r="D8683" s="47"/>
    </row>
    <row r="8684" spans="4:4" x14ac:dyDescent="0.45">
      <c r="D8684" s="47"/>
    </row>
    <row r="8685" spans="4:4" x14ac:dyDescent="0.45">
      <c r="D8685" s="47"/>
    </row>
    <row r="8686" spans="4:4" x14ac:dyDescent="0.45">
      <c r="D8686" s="47"/>
    </row>
    <row r="8687" spans="4:4" x14ac:dyDescent="0.45">
      <c r="D8687" s="47"/>
    </row>
    <row r="8688" spans="4:4" x14ac:dyDescent="0.45">
      <c r="D8688" s="47"/>
    </row>
    <row r="8689" spans="4:4" x14ac:dyDescent="0.45">
      <c r="D8689" s="47"/>
    </row>
    <row r="8690" spans="4:4" x14ac:dyDescent="0.45">
      <c r="D8690" s="47"/>
    </row>
    <row r="8691" spans="4:4" x14ac:dyDescent="0.45">
      <c r="D8691" s="47"/>
    </row>
    <row r="8692" spans="4:4" x14ac:dyDescent="0.45">
      <c r="D8692" s="47"/>
    </row>
    <row r="8693" spans="4:4" x14ac:dyDescent="0.45">
      <c r="D8693" s="47"/>
    </row>
    <row r="8694" spans="4:4" x14ac:dyDescent="0.45">
      <c r="D8694" s="47"/>
    </row>
    <row r="8695" spans="4:4" x14ac:dyDescent="0.45">
      <c r="D8695" s="47"/>
    </row>
    <row r="8696" spans="4:4" x14ac:dyDescent="0.45">
      <c r="D8696" s="47"/>
    </row>
    <row r="8697" spans="4:4" x14ac:dyDescent="0.45">
      <c r="D8697" s="47"/>
    </row>
    <row r="8698" spans="4:4" x14ac:dyDescent="0.45">
      <c r="D8698" s="47"/>
    </row>
    <row r="8699" spans="4:4" x14ac:dyDescent="0.45">
      <c r="D8699" s="47"/>
    </row>
    <row r="8700" spans="4:4" x14ac:dyDescent="0.45">
      <c r="D8700" s="47"/>
    </row>
    <row r="8701" spans="4:4" x14ac:dyDescent="0.45">
      <c r="D8701" s="47"/>
    </row>
    <row r="8702" spans="4:4" x14ac:dyDescent="0.45">
      <c r="D8702" s="47"/>
    </row>
    <row r="8703" spans="4:4" x14ac:dyDescent="0.45">
      <c r="D8703" s="47"/>
    </row>
    <row r="8704" spans="4:4" x14ac:dyDescent="0.45">
      <c r="D8704" s="47"/>
    </row>
    <row r="8705" spans="4:4" x14ac:dyDescent="0.45">
      <c r="D8705" s="47"/>
    </row>
    <row r="8706" spans="4:4" x14ac:dyDescent="0.45">
      <c r="D8706" s="47"/>
    </row>
    <row r="8707" spans="4:4" x14ac:dyDescent="0.45">
      <c r="D8707" s="47"/>
    </row>
    <row r="8708" spans="4:4" x14ac:dyDescent="0.45">
      <c r="D8708" s="47"/>
    </row>
    <row r="8709" spans="4:4" x14ac:dyDescent="0.45">
      <c r="D8709" s="47"/>
    </row>
    <row r="8710" spans="4:4" x14ac:dyDescent="0.45">
      <c r="D8710" s="47"/>
    </row>
    <row r="8711" spans="4:4" x14ac:dyDescent="0.45">
      <c r="D8711" s="47"/>
    </row>
    <row r="8712" spans="4:4" x14ac:dyDescent="0.45">
      <c r="D8712" s="47"/>
    </row>
    <row r="8713" spans="4:4" x14ac:dyDescent="0.45">
      <c r="D8713" s="47"/>
    </row>
    <row r="8714" spans="4:4" x14ac:dyDescent="0.45">
      <c r="D8714" s="47"/>
    </row>
    <row r="8715" spans="4:4" x14ac:dyDescent="0.45">
      <c r="D8715" s="47"/>
    </row>
    <row r="8716" spans="4:4" x14ac:dyDescent="0.45">
      <c r="D8716" s="47"/>
    </row>
    <row r="8717" spans="4:4" x14ac:dyDescent="0.45">
      <c r="D8717" s="47"/>
    </row>
    <row r="8718" spans="4:4" x14ac:dyDescent="0.45">
      <c r="D8718" s="47"/>
    </row>
    <row r="8719" spans="4:4" x14ac:dyDescent="0.45">
      <c r="D8719" s="47"/>
    </row>
    <row r="8720" spans="4:4" x14ac:dyDescent="0.45">
      <c r="D8720" s="47"/>
    </row>
    <row r="8721" spans="4:4" x14ac:dyDescent="0.45">
      <c r="D8721" s="47"/>
    </row>
    <row r="8722" spans="4:4" x14ac:dyDescent="0.45">
      <c r="D8722" s="47"/>
    </row>
    <row r="8723" spans="4:4" x14ac:dyDescent="0.45">
      <c r="D8723" s="47"/>
    </row>
    <row r="8724" spans="4:4" x14ac:dyDescent="0.45">
      <c r="D8724" s="47"/>
    </row>
    <row r="8725" spans="4:4" x14ac:dyDescent="0.45">
      <c r="D8725" s="47"/>
    </row>
    <row r="8726" spans="4:4" x14ac:dyDescent="0.45">
      <c r="D8726" s="47"/>
    </row>
    <row r="8727" spans="4:4" x14ac:dyDescent="0.45">
      <c r="D8727" s="47"/>
    </row>
    <row r="8728" spans="4:4" x14ac:dyDescent="0.45">
      <c r="D8728" s="47"/>
    </row>
    <row r="8729" spans="4:4" x14ac:dyDescent="0.45">
      <c r="D8729" s="47"/>
    </row>
    <row r="8730" spans="4:4" x14ac:dyDescent="0.45">
      <c r="D8730" s="47"/>
    </row>
    <row r="8731" spans="4:4" x14ac:dyDescent="0.45">
      <c r="D8731" s="47"/>
    </row>
    <row r="8732" spans="4:4" x14ac:dyDescent="0.45">
      <c r="D8732" s="47"/>
    </row>
    <row r="8733" spans="4:4" x14ac:dyDescent="0.45">
      <c r="D8733" s="47"/>
    </row>
    <row r="8734" spans="4:4" x14ac:dyDescent="0.45">
      <c r="D8734" s="47"/>
    </row>
    <row r="8735" spans="4:4" x14ac:dyDescent="0.45">
      <c r="D8735" s="47"/>
    </row>
    <row r="8736" spans="4:4" x14ac:dyDescent="0.45">
      <c r="D8736" s="47"/>
    </row>
    <row r="8737" spans="4:4" x14ac:dyDescent="0.45">
      <c r="D8737" s="47"/>
    </row>
    <row r="8738" spans="4:4" x14ac:dyDescent="0.45">
      <c r="D8738" s="47"/>
    </row>
    <row r="8739" spans="4:4" x14ac:dyDescent="0.45">
      <c r="D8739" s="47"/>
    </row>
    <row r="8740" spans="4:4" x14ac:dyDescent="0.45">
      <c r="D8740" s="47"/>
    </row>
    <row r="8741" spans="4:4" x14ac:dyDescent="0.45">
      <c r="D8741" s="47"/>
    </row>
    <row r="8742" spans="4:4" x14ac:dyDescent="0.45">
      <c r="D8742" s="47"/>
    </row>
    <row r="8743" spans="4:4" x14ac:dyDescent="0.45">
      <c r="D8743" s="47"/>
    </row>
    <row r="8744" spans="4:4" x14ac:dyDescent="0.45">
      <c r="D8744" s="47"/>
    </row>
    <row r="8745" spans="4:4" x14ac:dyDescent="0.45">
      <c r="D8745" s="47"/>
    </row>
    <row r="8746" spans="4:4" x14ac:dyDescent="0.45">
      <c r="D8746" s="47"/>
    </row>
    <row r="8747" spans="4:4" x14ac:dyDescent="0.45">
      <c r="D8747" s="47"/>
    </row>
    <row r="8748" spans="4:4" x14ac:dyDescent="0.45">
      <c r="D8748" s="47"/>
    </row>
    <row r="8749" spans="4:4" x14ac:dyDescent="0.45">
      <c r="D8749" s="47"/>
    </row>
    <row r="8750" spans="4:4" x14ac:dyDescent="0.45">
      <c r="D8750" s="47"/>
    </row>
    <row r="8751" spans="4:4" x14ac:dyDescent="0.45">
      <c r="D8751" s="47"/>
    </row>
    <row r="8752" spans="4:4" x14ac:dyDescent="0.45">
      <c r="D8752" s="47"/>
    </row>
    <row r="8753" spans="4:4" x14ac:dyDescent="0.45">
      <c r="D8753" s="47"/>
    </row>
    <row r="8754" spans="4:4" x14ac:dyDescent="0.45">
      <c r="D8754" s="47"/>
    </row>
    <row r="8755" spans="4:4" x14ac:dyDescent="0.45">
      <c r="D8755" s="47"/>
    </row>
    <row r="8756" spans="4:4" x14ac:dyDescent="0.45">
      <c r="D8756" s="47"/>
    </row>
    <row r="8757" spans="4:4" x14ac:dyDescent="0.45">
      <c r="D8757" s="47"/>
    </row>
    <row r="8758" spans="4:4" x14ac:dyDescent="0.45">
      <c r="D8758" s="47"/>
    </row>
    <row r="8759" spans="4:4" x14ac:dyDescent="0.45">
      <c r="D8759" s="47"/>
    </row>
    <row r="8760" spans="4:4" x14ac:dyDescent="0.45">
      <c r="D8760" s="47"/>
    </row>
    <row r="8761" spans="4:4" x14ac:dyDescent="0.45">
      <c r="D8761" s="47"/>
    </row>
    <row r="8762" spans="4:4" x14ac:dyDescent="0.45">
      <c r="D8762" s="47"/>
    </row>
    <row r="8763" spans="4:4" x14ac:dyDescent="0.45">
      <c r="D8763" s="47"/>
    </row>
    <row r="8764" spans="4:4" x14ac:dyDescent="0.45">
      <c r="D8764" s="47"/>
    </row>
    <row r="8765" spans="4:4" x14ac:dyDescent="0.45">
      <c r="D8765" s="47"/>
    </row>
    <row r="8766" spans="4:4" x14ac:dyDescent="0.45">
      <c r="D8766" s="47"/>
    </row>
    <row r="8767" spans="4:4" x14ac:dyDescent="0.45">
      <c r="D8767" s="47"/>
    </row>
    <row r="8768" spans="4:4" x14ac:dyDescent="0.45">
      <c r="D8768" s="47"/>
    </row>
    <row r="8769" spans="4:4" x14ac:dyDescent="0.45">
      <c r="D8769" s="47"/>
    </row>
    <row r="8770" spans="4:4" x14ac:dyDescent="0.45">
      <c r="D8770" s="47"/>
    </row>
    <row r="8771" spans="4:4" x14ac:dyDescent="0.45">
      <c r="D8771" s="47"/>
    </row>
    <row r="8772" spans="4:4" x14ac:dyDescent="0.45">
      <c r="D8772" s="47"/>
    </row>
    <row r="8773" spans="4:4" x14ac:dyDescent="0.45">
      <c r="D8773" s="47"/>
    </row>
    <row r="8774" spans="4:4" x14ac:dyDescent="0.45">
      <c r="D8774" s="47"/>
    </row>
    <row r="8775" spans="4:4" x14ac:dyDescent="0.45">
      <c r="D8775" s="47"/>
    </row>
    <row r="8776" spans="4:4" x14ac:dyDescent="0.45">
      <c r="D8776" s="47"/>
    </row>
    <row r="8777" spans="4:4" x14ac:dyDescent="0.45">
      <c r="D8777" s="47"/>
    </row>
    <row r="8778" spans="4:4" x14ac:dyDescent="0.45">
      <c r="D8778" s="47"/>
    </row>
    <row r="8779" spans="4:4" x14ac:dyDescent="0.45">
      <c r="D8779" s="47"/>
    </row>
    <row r="8780" spans="4:4" x14ac:dyDescent="0.45">
      <c r="D8780" s="47"/>
    </row>
    <row r="8781" spans="4:4" x14ac:dyDescent="0.45">
      <c r="D8781" s="47"/>
    </row>
    <row r="8782" spans="4:4" x14ac:dyDescent="0.45">
      <c r="D8782" s="47"/>
    </row>
    <row r="8783" spans="4:4" x14ac:dyDescent="0.45">
      <c r="D8783" s="47"/>
    </row>
    <row r="8784" spans="4:4" x14ac:dyDescent="0.45">
      <c r="D8784" s="47"/>
    </row>
    <row r="8785" spans="4:4" x14ac:dyDescent="0.45">
      <c r="D8785" s="47"/>
    </row>
    <row r="8786" spans="4:4" x14ac:dyDescent="0.45">
      <c r="D8786" s="47"/>
    </row>
    <row r="8787" spans="4:4" x14ac:dyDescent="0.45">
      <c r="D8787" s="47"/>
    </row>
    <row r="8788" spans="4:4" x14ac:dyDescent="0.45">
      <c r="D8788" s="47"/>
    </row>
    <row r="8789" spans="4:4" x14ac:dyDescent="0.45">
      <c r="D8789" s="47"/>
    </row>
    <row r="8790" spans="4:4" x14ac:dyDescent="0.45">
      <c r="D8790" s="47"/>
    </row>
    <row r="8791" spans="4:4" x14ac:dyDescent="0.45">
      <c r="D8791" s="47"/>
    </row>
    <row r="8792" spans="4:4" x14ac:dyDescent="0.45">
      <c r="D8792" s="47"/>
    </row>
    <row r="8793" spans="4:4" x14ac:dyDescent="0.45">
      <c r="D8793" s="47"/>
    </row>
    <row r="8794" spans="4:4" x14ac:dyDescent="0.45">
      <c r="D8794" s="47"/>
    </row>
    <row r="8795" spans="4:4" x14ac:dyDescent="0.45">
      <c r="D8795" s="47"/>
    </row>
    <row r="8796" spans="4:4" x14ac:dyDescent="0.45">
      <c r="D8796" s="47"/>
    </row>
    <row r="8797" spans="4:4" x14ac:dyDescent="0.45">
      <c r="D8797" s="47"/>
    </row>
    <row r="8798" spans="4:4" x14ac:dyDescent="0.45">
      <c r="D8798" s="47"/>
    </row>
    <row r="8799" spans="4:4" x14ac:dyDescent="0.45">
      <c r="D8799" s="47"/>
    </row>
    <row r="8800" spans="4:4" x14ac:dyDescent="0.45">
      <c r="D8800" s="47"/>
    </row>
    <row r="8801" spans="4:4" x14ac:dyDescent="0.45">
      <c r="D8801" s="47"/>
    </row>
    <row r="8802" spans="4:4" x14ac:dyDescent="0.45">
      <c r="D8802" s="47"/>
    </row>
    <row r="8803" spans="4:4" x14ac:dyDescent="0.45">
      <c r="D8803" s="47"/>
    </row>
    <row r="8804" spans="4:4" x14ac:dyDescent="0.45">
      <c r="D8804" s="47"/>
    </row>
    <row r="8805" spans="4:4" x14ac:dyDescent="0.45">
      <c r="D8805" s="47"/>
    </row>
    <row r="8806" spans="4:4" x14ac:dyDescent="0.45">
      <c r="D8806" s="47"/>
    </row>
    <row r="8807" spans="4:4" x14ac:dyDescent="0.45">
      <c r="D8807" s="47"/>
    </row>
    <row r="8808" spans="4:4" x14ac:dyDescent="0.45">
      <c r="D8808" s="47"/>
    </row>
    <row r="8809" spans="4:4" x14ac:dyDescent="0.45">
      <c r="D8809" s="47"/>
    </row>
    <row r="8810" spans="4:4" x14ac:dyDescent="0.45">
      <c r="D8810" s="47"/>
    </row>
    <row r="8811" spans="4:4" x14ac:dyDescent="0.45">
      <c r="D8811" s="47"/>
    </row>
    <row r="8812" spans="4:4" x14ac:dyDescent="0.45">
      <c r="D8812" s="47"/>
    </row>
    <row r="8813" spans="4:4" x14ac:dyDescent="0.45">
      <c r="D8813" s="47"/>
    </row>
    <row r="8814" spans="4:4" x14ac:dyDescent="0.45">
      <c r="D8814" s="47"/>
    </row>
    <row r="8815" spans="4:4" x14ac:dyDescent="0.45">
      <c r="D8815" s="47"/>
    </row>
    <row r="8816" spans="4:4" x14ac:dyDescent="0.45">
      <c r="D8816" s="47"/>
    </row>
    <row r="8817" spans="4:4" x14ac:dyDescent="0.45">
      <c r="D8817" s="47"/>
    </row>
    <row r="8818" spans="4:4" x14ac:dyDescent="0.45">
      <c r="D8818" s="47"/>
    </row>
    <row r="8819" spans="4:4" x14ac:dyDescent="0.45">
      <c r="D8819" s="47"/>
    </row>
    <row r="8820" spans="4:4" x14ac:dyDescent="0.45">
      <c r="D8820" s="47"/>
    </row>
    <row r="8821" spans="4:4" x14ac:dyDescent="0.45">
      <c r="D8821" s="47"/>
    </row>
    <row r="8822" spans="4:4" x14ac:dyDescent="0.45">
      <c r="D8822" s="47"/>
    </row>
    <row r="8823" spans="4:4" x14ac:dyDescent="0.45">
      <c r="D8823" s="47"/>
    </row>
    <row r="8824" spans="4:4" x14ac:dyDescent="0.45">
      <c r="D8824" s="47"/>
    </row>
    <row r="8825" spans="4:4" x14ac:dyDescent="0.45">
      <c r="D8825" s="47"/>
    </row>
    <row r="8826" spans="4:4" x14ac:dyDescent="0.45">
      <c r="D8826" s="47"/>
    </row>
    <row r="8827" spans="4:4" x14ac:dyDescent="0.45">
      <c r="D8827" s="47"/>
    </row>
    <row r="8828" spans="4:4" x14ac:dyDescent="0.45">
      <c r="D8828" s="47"/>
    </row>
    <row r="8829" spans="4:4" x14ac:dyDescent="0.45">
      <c r="D8829" s="47"/>
    </row>
    <row r="8830" spans="4:4" x14ac:dyDescent="0.45">
      <c r="D8830" s="47"/>
    </row>
    <row r="8831" spans="4:4" x14ac:dyDescent="0.45">
      <c r="D8831" s="47"/>
    </row>
    <row r="8832" spans="4:4" x14ac:dyDescent="0.45">
      <c r="D8832" s="47"/>
    </row>
    <row r="8833" spans="4:4" x14ac:dyDescent="0.45">
      <c r="D8833" s="47"/>
    </row>
    <row r="8834" spans="4:4" x14ac:dyDescent="0.45">
      <c r="D8834" s="47"/>
    </row>
    <row r="8835" spans="4:4" x14ac:dyDescent="0.45">
      <c r="D8835" s="47"/>
    </row>
    <row r="8836" spans="4:4" x14ac:dyDescent="0.45">
      <c r="D8836" s="47"/>
    </row>
    <row r="8837" spans="4:4" x14ac:dyDescent="0.45">
      <c r="D8837" s="47"/>
    </row>
    <row r="8838" spans="4:4" x14ac:dyDescent="0.45">
      <c r="D8838" s="47"/>
    </row>
    <row r="8839" spans="4:4" x14ac:dyDescent="0.45">
      <c r="D8839" s="47"/>
    </row>
    <row r="8840" spans="4:4" x14ac:dyDescent="0.45">
      <c r="D8840" s="47"/>
    </row>
    <row r="8841" spans="4:4" x14ac:dyDescent="0.45">
      <c r="D8841" s="47"/>
    </row>
    <row r="8842" spans="4:4" x14ac:dyDescent="0.45">
      <c r="D8842" s="47"/>
    </row>
    <row r="8843" spans="4:4" x14ac:dyDescent="0.45">
      <c r="D8843" s="47"/>
    </row>
    <row r="8844" spans="4:4" x14ac:dyDescent="0.45">
      <c r="D8844" s="47"/>
    </row>
    <row r="8845" spans="4:4" x14ac:dyDescent="0.45">
      <c r="D8845" s="47"/>
    </row>
    <row r="8846" spans="4:4" x14ac:dyDescent="0.45">
      <c r="D8846" s="47"/>
    </row>
    <row r="8847" spans="4:4" x14ac:dyDescent="0.45">
      <c r="D8847" s="47"/>
    </row>
    <row r="8848" spans="4:4" x14ac:dyDescent="0.45">
      <c r="D8848" s="47"/>
    </row>
    <row r="8849" spans="4:4" x14ac:dyDescent="0.45">
      <c r="D8849" s="47"/>
    </row>
    <row r="8850" spans="4:4" x14ac:dyDescent="0.45">
      <c r="D8850" s="47"/>
    </row>
    <row r="8851" spans="4:4" x14ac:dyDescent="0.45">
      <c r="D8851" s="47"/>
    </row>
    <row r="8852" spans="4:4" x14ac:dyDescent="0.45">
      <c r="D8852" s="47"/>
    </row>
    <row r="8853" spans="4:4" x14ac:dyDescent="0.45">
      <c r="D8853" s="47"/>
    </row>
    <row r="8854" spans="4:4" x14ac:dyDescent="0.45">
      <c r="D8854" s="47"/>
    </row>
    <row r="8855" spans="4:4" x14ac:dyDescent="0.45">
      <c r="D8855" s="47"/>
    </row>
    <row r="8856" spans="4:4" x14ac:dyDescent="0.45">
      <c r="D8856" s="47"/>
    </row>
    <row r="8857" spans="4:4" x14ac:dyDescent="0.45">
      <c r="D8857" s="47"/>
    </row>
    <row r="8858" spans="4:4" x14ac:dyDescent="0.45">
      <c r="D8858" s="47"/>
    </row>
    <row r="8859" spans="4:4" x14ac:dyDescent="0.45">
      <c r="D8859" s="47"/>
    </row>
    <row r="8860" spans="4:4" x14ac:dyDescent="0.45">
      <c r="D8860" s="47"/>
    </row>
    <row r="8861" spans="4:4" x14ac:dyDescent="0.45">
      <c r="D8861" s="47"/>
    </row>
    <row r="8862" spans="4:4" x14ac:dyDescent="0.45">
      <c r="D8862" s="47"/>
    </row>
    <row r="8863" spans="4:4" x14ac:dyDescent="0.45">
      <c r="D8863" s="47"/>
    </row>
    <row r="8864" spans="4:4" x14ac:dyDescent="0.45">
      <c r="D8864" s="47"/>
    </row>
    <row r="8865" spans="4:4" x14ac:dyDescent="0.45">
      <c r="D8865" s="47"/>
    </row>
    <row r="8866" spans="4:4" x14ac:dyDescent="0.45">
      <c r="D8866" s="47"/>
    </row>
    <row r="8867" spans="4:4" x14ac:dyDescent="0.45">
      <c r="D8867" s="47"/>
    </row>
    <row r="8868" spans="4:4" x14ac:dyDescent="0.45">
      <c r="D8868" s="47"/>
    </row>
    <row r="8869" spans="4:4" x14ac:dyDescent="0.45">
      <c r="D8869" s="47"/>
    </row>
    <row r="8870" spans="4:4" x14ac:dyDescent="0.45">
      <c r="D8870" s="47"/>
    </row>
    <row r="8871" spans="4:4" x14ac:dyDescent="0.45">
      <c r="D8871" s="47"/>
    </row>
    <row r="8872" spans="4:4" x14ac:dyDescent="0.45">
      <c r="D8872" s="47"/>
    </row>
    <row r="8873" spans="4:4" x14ac:dyDescent="0.45">
      <c r="D8873" s="47"/>
    </row>
    <row r="8874" spans="4:4" x14ac:dyDescent="0.45">
      <c r="D8874" s="47"/>
    </row>
    <row r="8875" spans="4:4" x14ac:dyDescent="0.45">
      <c r="D8875" s="47"/>
    </row>
    <row r="8876" spans="4:4" x14ac:dyDescent="0.45">
      <c r="D8876" s="47"/>
    </row>
    <row r="8877" spans="4:4" x14ac:dyDescent="0.45">
      <c r="D8877" s="47"/>
    </row>
    <row r="8878" spans="4:4" x14ac:dyDescent="0.45">
      <c r="D8878" s="47"/>
    </row>
    <row r="8879" spans="4:4" x14ac:dyDescent="0.45">
      <c r="D8879" s="47"/>
    </row>
    <row r="8880" spans="4:4" x14ac:dyDescent="0.45">
      <c r="D8880" s="47"/>
    </row>
    <row r="8881" spans="4:4" x14ac:dyDescent="0.45">
      <c r="D8881" s="47"/>
    </row>
    <row r="8882" spans="4:4" x14ac:dyDescent="0.45">
      <c r="D8882" s="47"/>
    </row>
    <row r="8883" spans="4:4" x14ac:dyDescent="0.45">
      <c r="D8883" s="47"/>
    </row>
    <row r="8884" spans="4:4" x14ac:dyDescent="0.45">
      <c r="D8884" s="47"/>
    </row>
    <row r="8885" spans="4:4" x14ac:dyDescent="0.45">
      <c r="D8885" s="47"/>
    </row>
    <row r="8886" spans="4:4" x14ac:dyDescent="0.45">
      <c r="D8886" s="47"/>
    </row>
    <row r="8887" spans="4:4" x14ac:dyDescent="0.45">
      <c r="D8887" s="47"/>
    </row>
    <row r="8888" spans="4:4" x14ac:dyDescent="0.45">
      <c r="D8888" s="47"/>
    </row>
    <row r="8889" spans="4:4" x14ac:dyDescent="0.45">
      <c r="D8889" s="47"/>
    </row>
    <row r="8890" spans="4:4" x14ac:dyDescent="0.45">
      <c r="D8890" s="47"/>
    </row>
    <row r="8891" spans="4:4" x14ac:dyDescent="0.45">
      <c r="D8891" s="47"/>
    </row>
    <row r="8892" spans="4:4" x14ac:dyDescent="0.45">
      <c r="D8892" s="47"/>
    </row>
    <row r="8893" spans="4:4" x14ac:dyDescent="0.45">
      <c r="D8893" s="47"/>
    </row>
    <row r="8894" spans="4:4" x14ac:dyDescent="0.45">
      <c r="D8894" s="47"/>
    </row>
    <row r="8895" spans="4:4" x14ac:dyDescent="0.45">
      <c r="D8895" s="47"/>
    </row>
    <row r="8896" spans="4:4" x14ac:dyDescent="0.45">
      <c r="D8896" s="47"/>
    </row>
    <row r="8897" spans="4:4" x14ac:dyDescent="0.45">
      <c r="D8897" s="47"/>
    </row>
    <row r="8898" spans="4:4" x14ac:dyDescent="0.45">
      <c r="D8898" s="47"/>
    </row>
    <row r="8899" spans="4:4" x14ac:dyDescent="0.45">
      <c r="D8899" s="47"/>
    </row>
    <row r="8900" spans="4:4" x14ac:dyDescent="0.45">
      <c r="D8900" s="47"/>
    </row>
    <row r="8901" spans="4:4" x14ac:dyDescent="0.45">
      <c r="D8901" s="47"/>
    </row>
    <row r="8902" spans="4:4" x14ac:dyDescent="0.45">
      <c r="D8902" s="47"/>
    </row>
    <row r="8903" spans="4:4" x14ac:dyDescent="0.45">
      <c r="D8903" s="47"/>
    </row>
    <row r="8904" spans="4:4" x14ac:dyDescent="0.45">
      <c r="D8904" s="47"/>
    </row>
    <row r="8905" spans="4:4" x14ac:dyDescent="0.45">
      <c r="D8905" s="47"/>
    </row>
    <row r="8906" spans="4:4" x14ac:dyDescent="0.45">
      <c r="D8906" s="47"/>
    </row>
    <row r="8907" spans="4:4" x14ac:dyDescent="0.45">
      <c r="D8907" s="47"/>
    </row>
    <row r="8908" spans="4:4" x14ac:dyDescent="0.45">
      <c r="D8908" s="47"/>
    </row>
    <row r="8909" spans="4:4" x14ac:dyDescent="0.45">
      <c r="D8909" s="47"/>
    </row>
    <row r="8910" spans="4:4" x14ac:dyDescent="0.45">
      <c r="D8910" s="47"/>
    </row>
    <row r="8911" spans="4:4" x14ac:dyDescent="0.45">
      <c r="D8911" s="47"/>
    </row>
    <row r="8912" spans="4:4" x14ac:dyDescent="0.45">
      <c r="D8912" s="47"/>
    </row>
    <row r="8913" spans="4:4" x14ac:dyDescent="0.45">
      <c r="D8913" s="47"/>
    </row>
    <row r="8914" spans="4:4" x14ac:dyDescent="0.45">
      <c r="D8914" s="47"/>
    </row>
    <row r="8915" spans="4:4" x14ac:dyDescent="0.45">
      <c r="D8915" s="47"/>
    </row>
    <row r="8916" spans="4:4" x14ac:dyDescent="0.45">
      <c r="D8916" s="47"/>
    </row>
    <row r="8917" spans="4:4" x14ac:dyDescent="0.45">
      <c r="D8917" s="47"/>
    </row>
    <row r="8918" spans="4:4" x14ac:dyDescent="0.45">
      <c r="D8918" s="47"/>
    </row>
    <row r="8919" spans="4:4" x14ac:dyDescent="0.45">
      <c r="D8919" s="47"/>
    </row>
    <row r="8920" spans="4:4" x14ac:dyDescent="0.45">
      <c r="D8920" s="47"/>
    </row>
    <row r="8921" spans="4:4" x14ac:dyDescent="0.45">
      <c r="D8921" s="47"/>
    </row>
    <row r="8922" spans="4:4" x14ac:dyDescent="0.45">
      <c r="D8922" s="47"/>
    </row>
    <row r="8923" spans="4:4" x14ac:dyDescent="0.45">
      <c r="D8923" s="47"/>
    </row>
    <row r="8924" spans="4:4" x14ac:dyDescent="0.45">
      <c r="D8924" s="47"/>
    </row>
    <row r="8925" spans="4:4" x14ac:dyDescent="0.45">
      <c r="D8925" s="47"/>
    </row>
    <row r="8926" spans="4:4" x14ac:dyDescent="0.45">
      <c r="D8926" s="47"/>
    </row>
    <row r="8927" spans="4:4" x14ac:dyDescent="0.45">
      <c r="D8927" s="47"/>
    </row>
    <row r="8928" spans="4:4" x14ac:dyDescent="0.45">
      <c r="D8928" s="47"/>
    </row>
    <row r="8929" spans="4:4" x14ac:dyDescent="0.45">
      <c r="D8929" s="47"/>
    </row>
    <row r="8930" spans="4:4" x14ac:dyDescent="0.45">
      <c r="D8930" s="47"/>
    </row>
    <row r="8931" spans="4:4" x14ac:dyDescent="0.45">
      <c r="D8931" s="47"/>
    </row>
    <row r="8932" spans="4:4" x14ac:dyDescent="0.45">
      <c r="D8932" s="47"/>
    </row>
    <row r="8933" spans="4:4" x14ac:dyDescent="0.45">
      <c r="D8933" s="47"/>
    </row>
    <row r="8934" spans="4:4" x14ac:dyDescent="0.45">
      <c r="D8934" s="47"/>
    </row>
    <row r="8935" spans="4:4" x14ac:dyDescent="0.45">
      <c r="D8935" s="47"/>
    </row>
    <row r="8936" spans="4:4" x14ac:dyDescent="0.45">
      <c r="D8936" s="47"/>
    </row>
    <row r="8937" spans="4:4" x14ac:dyDescent="0.45">
      <c r="D8937" s="47"/>
    </row>
    <row r="8938" spans="4:4" x14ac:dyDescent="0.45">
      <c r="D8938" s="47"/>
    </row>
    <row r="8939" spans="4:4" x14ac:dyDescent="0.45">
      <c r="D8939" s="47"/>
    </row>
    <row r="8940" spans="4:4" x14ac:dyDescent="0.45">
      <c r="D8940" s="47"/>
    </row>
    <row r="8941" spans="4:4" x14ac:dyDescent="0.45">
      <c r="D8941" s="47"/>
    </row>
    <row r="8942" spans="4:4" x14ac:dyDescent="0.45">
      <c r="D8942" s="47"/>
    </row>
    <row r="8943" spans="4:4" x14ac:dyDescent="0.45">
      <c r="D8943" s="47"/>
    </row>
    <row r="8944" spans="4:4" x14ac:dyDescent="0.45">
      <c r="D8944" s="47"/>
    </row>
    <row r="8945" spans="4:4" x14ac:dyDescent="0.45">
      <c r="D8945" s="47"/>
    </row>
    <row r="8946" spans="4:4" x14ac:dyDescent="0.45">
      <c r="D8946" s="47"/>
    </row>
    <row r="8947" spans="4:4" x14ac:dyDescent="0.45">
      <c r="D8947" s="47"/>
    </row>
    <row r="8948" spans="4:4" x14ac:dyDescent="0.45">
      <c r="D8948" s="47"/>
    </row>
    <row r="8949" spans="4:4" x14ac:dyDescent="0.45">
      <c r="D8949" s="47"/>
    </row>
    <row r="8950" spans="4:4" x14ac:dyDescent="0.45">
      <c r="D8950" s="47"/>
    </row>
    <row r="8951" spans="4:4" x14ac:dyDescent="0.45">
      <c r="D8951" s="47"/>
    </row>
    <row r="8952" spans="4:4" x14ac:dyDescent="0.45">
      <c r="D8952" s="47"/>
    </row>
    <row r="8953" spans="4:4" x14ac:dyDescent="0.45">
      <c r="D8953" s="47"/>
    </row>
    <row r="8954" spans="4:4" x14ac:dyDescent="0.45">
      <c r="D8954" s="47"/>
    </row>
    <row r="8955" spans="4:4" x14ac:dyDescent="0.45">
      <c r="D8955" s="47"/>
    </row>
    <row r="8956" spans="4:4" x14ac:dyDescent="0.45">
      <c r="D8956" s="47"/>
    </row>
    <row r="8957" spans="4:4" x14ac:dyDescent="0.45">
      <c r="D8957" s="47"/>
    </row>
    <row r="8958" spans="4:4" x14ac:dyDescent="0.45">
      <c r="D8958" s="47"/>
    </row>
    <row r="8959" spans="4:4" x14ac:dyDescent="0.45">
      <c r="D8959" s="47"/>
    </row>
    <row r="8960" spans="4:4" x14ac:dyDescent="0.45">
      <c r="D8960" s="47"/>
    </row>
    <row r="8961" spans="4:4" x14ac:dyDescent="0.45">
      <c r="D8961" s="47"/>
    </row>
    <row r="8962" spans="4:4" x14ac:dyDescent="0.45">
      <c r="D8962" s="47"/>
    </row>
    <row r="8963" spans="4:4" x14ac:dyDescent="0.45">
      <c r="D8963" s="47"/>
    </row>
    <row r="8964" spans="4:4" x14ac:dyDescent="0.45">
      <c r="D8964" s="47"/>
    </row>
    <row r="8965" spans="4:4" x14ac:dyDescent="0.45">
      <c r="D8965" s="47"/>
    </row>
    <row r="8966" spans="4:4" x14ac:dyDescent="0.45">
      <c r="D8966" s="47"/>
    </row>
    <row r="8967" spans="4:4" x14ac:dyDescent="0.45">
      <c r="D8967" s="47"/>
    </row>
    <row r="8968" spans="4:4" x14ac:dyDescent="0.45">
      <c r="D8968" s="47"/>
    </row>
    <row r="8969" spans="4:4" x14ac:dyDescent="0.45">
      <c r="D8969" s="47"/>
    </row>
    <row r="8970" spans="4:4" x14ac:dyDescent="0.45">
      <c r="D8970" s="47"/>
    </row>
    <row r="8971" spans="4:4" x14ac:dyDescent="0.45">
      <c r="D8971" s="47"/>
    </row>
    <row r="8972" spans="4:4" x14ac:dyDescent="0.45">
      <c r="D8972" s="47"/>
    </row>
    <row r="8973" spans="4:4" x14ac:dyDescent="0.45">
      <c r="D8973" s="47"/>
    </row>
    <row r="8974" spans="4:4" x14ac:dyDescent="0.45">
      <c r="D8974" s="47"/>
    </row>
    <row r="8975" spans="4:4" x14ac:dyDescent="0.45">
      <c r="D8975" s="47"/>
    </row>
    <row r="8976" spans="4:4" x14ac:dyDescent="0.45">
      <c r="D8976" s="47"/>
    </row>
    <row r="8977" spans="4:4" x14ac:dyDescent="0.45">
      <c r="D8977" s="47"/>
    </row>
    <row r="8978" spans="4:4" x14ac:dyDescent="0.45">
      <c r="D8978" s="47"/>
    </row>
    <row r="8979" spans="4:4" x14ac:dyDescent="0.45">
      <c r="D8979" s="47"/>
    </row>
    <row r="8980" spans="4:4" x14ac:dyDescent="0.45">
      <c r="D8980" s="47"/>
    </row>
    <row r="8981" spans="4:4" x14ac:dyDescent="0.45">
      <c r="D8981" s="47"/>
    </row>
    <row r="8982" spans="4:4" x14ac:dyDescent="0.45">
      <c r="D8982" s="47"/>
    </row>
    <row r="8983" spans="4:4" x14ac:dyDescent="0.45">
      <c r="D8983" s="47"/>
    </row>
    <row r="8984" spans="4:4" x14ac:dyDescent="0.45">
      <c r="D8984" s="47"/>
    </row>
    <row r="8985" spans="4:4" x14ac:dyDescent="0.45">
      <c r="D8985" s="47"/>
    </row>
    <row r="8986" spans="4:4" x14ac:dyDescent="0.45">
      <c r="D8986" s="47"/>
    </row>
    <row r="8987" spans="4:4" x14ac:dyDescent="0.45">
      <c r="D8987" s="47"/>
    </row>
    <row r="8988" spans="4:4" x14ac:dyDescent="0.45">
      <c r="D8988" s="47"/>
    </row>
    <row r="8989" spans="4:4" x14ac:dyDescent="0.45">
      <c r="D8989" s="47"/>
    </row>
    <row r="8990" spans="4:4" x14ac:dyDescent="0.45">
      <c r="D8990" s="47"/>
    </row>
    <row r="8991" spans="4:4" x14ac:dyDescent="0.45">
      <c r="D8991" s="47"/>
    </row>
    <row r="8992" spans="4:4" x14ac:dyDescent="0.45">
      <c r="D8992" s="47"/>
    </row>
    <row r="8993" spans="4:4" x14ac:dyDescent="0.45">
      <c r="D8993" s="47"/>
    </row>
    <row r="8994" spans="4:4" x14ac:dyDescent="0.45">
      <c r="D8994" s="47"/>
    </row>
    <row r="8995" spans="4:4" x14ac:dyDescent="0.45">
      <c r="D8995" s="47"/>
    </row>
    <row r="8996" spans="4:4" x14ac:dyDescent="0.45">
      <c r="D8996" s="47"/>
    </row>
    <row r="8997" spans="4:4" x14ac:dyDescent="0.45">
      <c r="D8997" s="47"/>
    </row>
    <row r="8998" spans="4:4" x14ac:dyDescent="0.45">
      <c r="D8998" s="47"/>
    </row>
    <row r="8999" spans="4:4" x14ac:dyDescent="0.45">
      <c r="D8999" s="47"/>
    </row>
    <row r="9000" spans="4:4" x14ac:dyDescent="0.45">
      <c r="D9000" s="47"/>
    </row>
    <row r="9001" spans="4:4" x14ac:dyDescent="0.45">
      <c r="D9001" s="47"/>
    </row>
    <row r="9002" spans="4:4" x14ac:dyDescent="0.45">
      <c r="D9002" s="47"/>
    </row>
    <row r="9003" spans="4:4" x14ac:dyDescent="0.45">
      <c r="D9003" s="47"/>
    </row>
    <row r="9004" spans="4:4" x14ac:dyDescent="0.45">
      <c r="D9004" s="47"/>
    </row>
    <row r="9005" spans="4:4" x14ac:dyDescent="0.45">
      <c r="D9005" s="47"/>
    </row>
    <row r="9006" spans="4:4" x14ac:dyDescent="0.45">
      <c r="D9006" s="47"/>
    </row>
    <row r="9007" spans="4:4" x14ac:dyDescent="0.45">
      <c r="D9007" s="47"/>
    </row>
    <row r="9008" spans="4:4" x14ac:dyDescent="0.45">
      <c r="D9008" s="47"/>
    </row>
    <row r="9009" spans="4:4" x14ac:dyDescent="0.45">
      <c r="D9009" s="47"/>
    </row>
    <row r="9010" spans="4:4" x14ac:dyDescent="0.45">
      <c r="D9010" s="47"/>
    </row>
    <row r="9011" spans="4:4" x14ac:dyDescent="0.45">
      <c r="D9011" s="47"/>
    </row>
    <row r="9012" spans="4:4" x14ac:dyDescent="0.45">
      <c r="D9012" s="47"/>
    </row>
    <row r="9013" spans="4:4" x14ac:dyDescent="0.45">
      <c r="D9013" s="47"/>
    </row>
    <row r="9014" spans="4:4" x14ac:dyDescent="0.45">
      <c r="D9014" s="47"/>
    </row>
    <row r="9015" spans="4:4" x14ac:dyDescent="0.45">
      <c r="D9015" s="47"/>
    </row>
    <row r="9016" spans="4:4" x14ac:dyDescent="0.45">
      <c r="D9016" s="47"/>
    </row>
    <row r="9017" spans="4:4" x14ac:dyDescent="0.45">
      <c r="D9017" s="47"/>
    </row>
    <row r="9018" spans="4:4" x14ac:dyDescent="0.45">
      <c r="D9018" s="47"/>
    </row>
    <row r="9019" spans="4:4" x14ac:dyDescent="0.45">
      <c r="D9019" s="47"/>
    </row>
    <row r="9020" spans="4:4" x14ac:dyDescent="0.45">
      <c r="D9020" s="47"/>
    </row>
    <row r="9021" spans="4:4" x14ac:dyDescent="0.45">
      <c r="D9021" s="47"/>
    </row>
    <row r="9022" spans="4:4" x14ac:dyDescent="0.45">
      <c r="D9022" s="47"/>
    </row>
    <row r="9023" spans="4:4" x14ac:dyDescent="0.45">
      <c r="D9023" s="47"/>
    </row>
    <row r="9024" spans="4:4" x14ac:dyDescent="0.45">
      <c r="D9024" s="47"/>
    </row>
    <row r="9025" spans="4:4" x14ac:dyDescent="0.45">
      <c r="D9025" s="47"/>
    </row>
    <row r="9026" spans="4:4" x14ac:dyDescent="0.45">
      <c r="D9026" s="47"/>
    </row>
    <row r="9027" spans="4:4" x14ac:dyDescent="0.45">
      <c r="D9027" s="47"/>
    </row>
    <row r="9028" spans="4:4" x14ac:dyDescent="0.45">
      <c r="D9028" s="47"/>
    </row>
    <row r="9029" spans="4:4" x14ac:dyDescent="0.45">
      <c r="D9029" s="47"/>
    </row>
    <row r="9030" spans="4:4" x14ac:dyDescent="0.45">
      <c r="D9030" s="47"/>
    </row>
    <row r="9031" spans="4:4" x14ac:dyDescent="0.45">
      <c r="D9031" s="47"/>
    </row>
    <row r="9032" spans="4:4" x14ac:dyDescent="0.45">
      <c r="D9032" s="47"/>
    </row>
    <row r="9033" spans="4:4" x14ac:dyDescent="0.45">
      <c r="D9033" s="47"/>
    </row>
    <row r="9034" spans="4:4" x14ac:dyDescent="0.45">
      <c r="D9034" s="47"/>
    </row>
    <row r="9035" spans="4:4" x14ac:dyDescent="0.45">
      <c r="D9035" s="47"/>
    </row>
    <row r="9036" spans="4:4" x14ac:dyDescent="0.45">
      <c r="D9036" s="47"/>
    </row>
    <row r="9037" spans="4:4" x14ac:dyDescent="0.45">
      <c r="D9037" s="47"/>
    </row>
    <row r="9038" spans="4:4" x14ac:dyDescent="0.45">
      <c r="D9038" s="47"/>
    </row>
    <row r="9039" spans="4:4" x14ac:dyDescent="0.45">
      <c r="D9039" s="47"/>
    </row>
    <row r="9040" spans="4:4" x14ac:dyDescent="0.45">
      <c r="D9040" s="47"/>
    </row>
    <row r="9041" spans="4:4" x14ac:dyDescent="0.45">
      <c r="D9041" s="47"/>
    </row>
    <row r="9042" spans="4:4" x14ac:dyDescent="0.45">
      <c r="D9042" s="47"/>
    </row>
    <row r="9043" spans="4:4" x14ac:dyDescent="0.45">
      <c r="D9043" s="47"/>
    </row>
    <row r="9044" spans="4:4" x14ac:dyDescent="0.45">
      <c r="D9044" s="47"/>
    </row>
    <row r="9045" spans="4:4" x14ac:dyDescent="0.45">
      <c r="D9045" s="47"/>
    </row>
    <row r="9046" spans="4:4" x14ac:dyDescent="0.45">
      <c r="D9046" s="47"/>
    </row>
    <row r="9047" spans="4:4" x14ac:dyDescent="0.45">
      <c r="D9047" s="47"/>
    </row>
    <row r="9048" spans="4:4" x14ac:dyDescent="0.45">
      <c r="D9048" s="47"/>
    </row>
    <row r="9049" spans="4:4" x14ac:dyDescent="0.45">
      <c r="D9049" s="47"/>
    </row>
    <row r="9050" spans="4:4" x14ac:dyDescent="0.45">
      <c r="D9050" s="47"/>
    </row>
    <row r="9051" spans="4:4" x14ac:dyDescent="0.45">
      <c r="D9051" s="47"/>
    </row>
    <row r="9052" spans="4:4" x14ac:dyDescent="0.45">
      <c r="D9052" s="47"/>
    </row>
    <row r="9053" spans="4:4" x14ac:dyDescent="0.45">
      <c r="D9053" s="47"/>
    </row>
    <row r="9054" spans="4:4" x14ac:dyDescent="0.45">
      <c r="D9054" s="47"/>
    </row>
    <row r="9055" spans="4:4" x14ac:dyDescent="0.45">
      <c r="D9055" s="47"/>
    </row>
    <row r="9056" spans="4:4" x14ac:dyDescent="0.45">
      <c r="D9056" s="47"/>
    </row>
    <row r="9057" spans="4:4" x14ac:dyDescent="0.45">
      <c r="D9057" s="47"/>
    </row>
    <row r="9058" spans="4:4" x14ac:dyDescent="0.45">
      <c r="D9058" s="47"/>
    </row>
    <row r="9059" spans="4:4" x14ac:dyDescent="0.45">
      <c r="D9059" s="47"/>
    </row>
    <row r="9060" spans="4:4" x14ac:dyDescent="0.45">
      <c r="D9060" s="47"/>
    </row>
    <row r="9061" spans="4:4" x14ac:dyDescent="0.45">
      <c r="D9061" s="47"/>
    </row>
    <row r="9062" spans="4:4" x14ac:dyDescent="0.45">
      <c r="D9062" s="47"/>
    </row>
    <row r="9063" spans="4:4" x14ac:dyDescent="0.45">
      <c r="D9063" s="47"/>
    </row>
    <row r="9064" spans="4:4" x14ac:dyDescent="0.45">
      <c r="D9064" s="47"/>
    </row>
    <row r="9065" spans="4:4" x14ac:dyDescent="0.45">
      <c r="D9065" s="47"/>
    </row>
    <row r="9066" spans="4:4" x14ac:dyDescent="0.45">
      <c r="D9066" s="47"/>
    </row>
    <row r="9067" spans="4:4" x14ac:dyDescent="0.45">
      <c r="D9067" s="47"/>
    </row>
    <row r="9068" spans="4:4" x14ac:dyDescent="0.45">
      <c r="D9068" s="47"/>
    </row>
    <row r="9069" spans="4:4" x14ac:dyDescent="0.45">
      <c r="D9069" s="47"/>
    </row>
    <row r="9070" spans="4:4" x14ac:dyDescent="0.45">
      <c r="D9070" s="47"/>
    </row>
    <row r="9071" spans="4:4" x14ac:dyDescent="0.45">
      <c r="D9071" s="47"/>
    </row>
    <row r="9072" spans="4:4" x14ac:dyDescent="0.45">
      <c r="D9072" s="47"/>
    </row>
    <row r="9073" spans="4:4" x14ac:dyDescent="0.45">
      <c r="D9073" s="47"/>
    </row>
    <row r="9074" spans="4:4" x14ac:dyDescent="0.45">
      <c r="D9074" s="47"/>
    </row>
    <row r="9075" spans="4:4" x14ac:dyDescent="0.45">
      <c r="D9075" s="47"/>
    </row>
    <row r="9076" spans="4:4" x14ac:dyDescent="0.45">
      <c r="D9076" s="47"/>
    </row>
    <row r="9077" spans="4:4" x14ac:dyDescent="0.45">
      <c r="D9077" s="47"/>
    </row>
    <row r="9078" spans="4:4" x14ac:dyDescent="0.45">
      <c r="D9078" s="47"/>
    </row>
    <row r="9079" spans="4:4" x14ac:dyDescent="0.45">
      <c r="D9079" s="47"/>
    </row>
    <row r="9080" spans="4:4" x14ac:dyDescent="0.45">
      <c r="D9080" s="47"/>
    </row>
    <row r="9081" spans="4:4" x14ac:dyDescent="0.45">
      <c r="D9081" s="47"/>
    </row>
    <row r="9082" spans="4:4" x14ac:dyDescent="0.45">
      <c r="D9082" s="47"/>
    </row>
    <row r="9083" spans="4:4" x14ac:dyDescent="0.45">
      <c r="D9083" s="47"/>
    </row>
    <row r="9084" spans="4:4" x14ac:dyDescent="0.45">
      <c r="D9084" s="47"/>
    </row>
    <row r="9085" spans="4:4" x14ac:dyDescent="0.45">
      <c r="D9085" s="47"/>
    </row>
    <row r="9086" spans="4:4" x14ac:dyDescent="0.45">
      <c r="D9086" s="47"/>
    </row>
    <row r="9087" spans="4:4" x14ac:dyDescent="0.45">
      <c r="D9087" s="47"/>
    </row>
    <row r="9088" spans="4:4" x14ac:dyDescent="0.45">
      <c r="D9088" s="47"/>
    </row>
    <row r="9089" spans="4:4" x14ac:dyDescent="0.45">
      <c r="D9089" s="47"/>
    </row>
    <row r="9090" spans="4:4" x14ac:dyDescent="0.45">
      <c r="D9090" s="47"/>
    </row>
    <row r="9091" spans="4:4" x14ac:dyDescent="0.45">
      <c r="D9091" s="47"/>
    </row>
    <row r="9092" spans="4:4" x14ac:dyDescent="0.45">
      <c r="D9092" s="47"/>
    </row>
    <row r="9093" spans="4:4" x14ac:dyDescent="0.45">
      <c r="D9093" s="47"/>
    </row>
    <row r="9094" spans="4:4" x14ac:dyDescent="0.45">
      <c r="D9094" s="47"/>
    </row>
    <row r="9095" spans="4:4" x14ac:dyDescent="0.45">
      <c r="D9095" s="47"/>
    </row>
    <row r="9096" spans="4:4" x14ac:dyDescent="0.45">
      <c r="D9096" s="47"/>
    </row>
    <row r="9097" spans="4:4" x14ac:dyDescent="0.45">
      <c r="D9097" s="47"/>
    </row>
    <row r="9098" spans="4:4" x14ac:dyDescent="0.45">
      <c r="D9098" s="47"/>
    </row>
    <row r="9099" spans="4:4" x14ac:dyDescent="0.45">
      <c r="D9099" s="47"/>
    </row>
    <row r="9100" spans="4:4" x14ac:dyDescent="0.45">
      <c r="D9100" s="47"/>
    </row>
    <row r="9101" spans="4:4" x14ac:dyDescent="0.45">
      <c r="D9101" s="47"/>
    </row>
    <row r="9102" spans="4:4" x14ac:dyDescent="0.45">
      <c r="D9102" s="47"/>
    </row>
    <row r="9103" spans="4:4" x14ac:dyDescent="0.45">
      <c r="D9103" s="47"/>
    </row>
    <row r="9104" spans="4:4" x14ac:dyDescent="0.45">
      <c r="D9104" s="47"/>
    </row>
    <row r="9105" spans="4:4" x14ac:dyDescent="0.45">
      <c r="D9105" s="47"/>
    </row>
    <row r="9106" spans="4:4" x14ac:dyDescent="0.45">
      <c r="D9106" s="47"/>
    </row>
    <row r="9107" spans="4:4" x14ac:dyDescent="0.45">
      <c r="D9107" s="47"/>
    </row>
    <row r="9108" spans="4:4" x14ac:dyDescent="0.45">
      <c r="D9108" s="47"/>
    </row>
    <row r="9109" spans="4:4" x14ac:dyDescent="0.45">
      <c r="D9109" s="47"/>
    </row>
    <row r="9110" spans="4:4" x14ac:dyDescent="0.45">
      <c r="D9110" s="47"/>
    </row>
    <row r="9111" spans="4:4" x14ac:dyDescent="0.45">
      <c r="D9111" s="47"/>
    </row>
    <row r="9112" spans="4:4" x14ac:dyDescent="0.45">
      <c r="D9112" s="47"/>
    </row>
    <row r="9113" spans="4:4" x14ac:dyDescent="0.45">
      <c r="D9113" s="47"/>
    </row>
    <row r="9114" spans="4:4" x14ac:dyDescent="0.45">
      <c r="D9114" s="47"/>
    </row>
    <row r="9115" spans="4:4" x14ac:dyDescent="0.45">
      <c r="D9115" s="47"/>
    </row>
    <row r="9116" spans="4:4" x14ac:dyDescent="0.45">
      <c r="D9116" s="47"/>
    </row>
    <row r="9117" spans="4:4" x14ac:dyDescent="0.45">
      <c r="D9117" s="47"/>
    </row>
    <row r="9118" spans="4:4" x14ac:dyDescent="0.45">
      <c r="D9118" s="47"/>
    </row>
    <row r="9119" spans="4:4" x14ac:dyDescent="0.45">
      <c r="D9119" s="47"/>
    </row>
    <row r="9120" spans="4:4" x14ac:dyDescent="0.45">
      <c r="D9120" s="47"/>
    </row>
    <row r="9121" spans="4:4" x14ac:dyDescent="0.45">
      <c r="D9121" s="47"/>
    </row>
    <row r="9122" spans="4:4" x14ac:dyDescent="0.45">
      <c r="D9122" s="47"/>
    </row>
    <row r="9123" spans="4:4" x14ac:dyDescent="0.45">
      <c r="D9123" s="47"/>
    </row>
    <row r="9124" spans="4:4" x14ac:dyDescent="0.45">
      <c r="D9124" s="47"/>
    </row>
    <row r="9125" spans="4:4" x14ac:dyDescent="0.45">
      <c r="D9125" s="47"/>
    </row>
    <row r="9126" spans="4:4" x14ac:dyDescent="0.45">
      <c r="D9126" s="47"/>
    </row>
    <row r="9127" spans="4:4" x14ac:dyDescent="0.45">
      <c r="D9127" s="47"/>
    </row>
    <row r="9128" spans="4:4" x14ac:dyDescent="0.45">
      <c r="D9128" s="47"/>
    </row>
    <row r="9129" spans="4:4" x14ac:dyDescent="0.45">
      <c r="D9129" s="47"/>
    </row>
    <row r="9130" spans="4:4" x14ac:dyDescent="0.45">
      <c r="D9130" s="47"/>
    </row>
    <row r="9131" spans="4:4" x14ac:dyDescent="0.45">
      <c r="D9131" s="47"/>
    </row>
    <row r="9132" spans="4:4" x14ac:dyDescent="0.45">
      <c r="D9132" s="47"/>
    </row>
    <row r="9133" spans="4:4" x14ac:dyDescent="0.45">
      <c r="D9133" s="47"/>
    </row>
    <row r="9134" spans="4:4" x14ac:dyDescent="0.45">
      <c r="D9134" s="47"/>
    </row>
    <row r="9135" spans="4:4" x14ac:dyDescent="0.45">
      <c r="D9135" s="47"/>
    </row>
    <row r="9136" spans="4:4" x14ac:dyDescent="0.45">
      <c r="D9136" s="47"/>
    </row>
    <row r="9137" spans="4:4" x14ac:dyDescent="0.45">
      <c r="D9137" s="47"/>
    </row>
    <row r="9138" spans="4:4" x14ac:dyDescent="0.45">
      <c r="D9138" s="47"/>
    </row>
    <row r="9139" spans="4:4" x14ac:dyDescent="0.45">
      <c r="D9139" s="47"/>
    </row>
    <row r="9140" spans="4:4" x14ac:dyDescent="0.45">
      <c r="D9140" s="47"/>
    </row>
    <row r="9141" spans="4:4" x14ac:dyDescent="0.45">
      <c r="D9141" s="47"/>
    </row>
    <row r="9142" spans="4:4" x14ac:dyDescent="0.45">
      <c r="D9142" s="47"/>
    </row>
    <row r="9143" spans="4:4" x14ac:dyDescent="0.45">
      <c r="D9143" s="47"/>
    </row>
    <row r="9144" spans="4:4" x14ac:dyDescent="0.45">
      <c r="D9144" s="47"/>
    </row>
    <row r="9145" spans="4:4" x14ac:dyDescent="0.45">
      <c r="D9145" s="47"/>
    </row>
    <row r="9146" spans="4:4" x14ac:dyDescent="0.45">
      <c r="D9146" s="47"/>
    </row>
    <row r="9147" spans="4:4" x14ac:dyDescent="0.45">
      <c r="D9147" s="47"/>
    </row>
    <row r="9148" spans="4:4" x14ac:dyDescent="0.45">
      <c r="D9148" s="47"/>
    </row>
    <row r="9149" spans="4:4" x14ac:dyDescent="0.45">
      <c r="D9149" s="47"/>
    </row>
    <row r="9150" spans="4:4" x14ac:dyDescent="0.45">
      <c r="D9150" s="47"/>
    </row>
    <row r="9151" spans="4:4" x14ac:dyDescent="0.45">
      <c r="D9151" s="47"/>
    </row>
    <row r="9152" spans="4:4" x14ac:dyDescent="0.45">
      <c r="D9152" s="47"/>
    </row>
    <row r="9153" spans="4:4" x14ac:dyDescent="0.45">
      <c r="D9153" s="47"/>
    </row>
    <row r="9154" spans="4:4" x14ac:dyDescent="0.45">
      <c r="D9154" s="47"/>
    </row>
    <row r="9155" spans="4:4" x14ac:dyDescent="0.45">
      <c r="D9155" s="47"/>
    </row>
    <row r="9156" spans="4:4" x14ac:dyDescent="0.45">
      <c r="D9156" s="47"/>
    </row>
    <row r="9157" spans="4:4" x14ac:dyDescent="0.45">
      <c r="D9157" s="47"/>
    </row>
    <row r="9158" spans="4:4" x14ac:dyDescent="0.45">
      <c r="D9158" s="47"/>
    </row>
    <row r="9159" spans="4:4" x14ac:dyDescent="0.45">
      <c r="D9159" s="47"/>
    </row>
    <row r="9160" spans="4:4" x14ac:dyDescent="0.45">
      <c r="D9160" s="47"/>
    </row>
    <row r="9161" spans="4:4" x14ac:dyDescent="0.45">
      <c r="D9161" s="47"/>
    </row>
    <row r="9162" spans="4:4" x14ac:dyDescent="0.45">
      <c r="D9162" s="47"/>
    </row>
    <row r="9163" spans="4:4" x14ac:dyDescent="0.45">
      <c r="D9163" s="47"/>
    </row>
    <row r="9164" spans="4:4" x14ac:dyDescent="0.45">
      <c r="D9164" s="47"/>
    </row>
    <row r="9165" spans="4:4" x14ac:dyDescent="0.45">
      <c r="D9165" s="47"/>
    </row>
    <row r="9166" spans="4:4" x14ac:dyDescent="0.45">
      <c r="D9166" s="47"/>
    </row>
    <row r="9167" spans="4:4" x14ac:dyDescent="0.45">
      <c r="D9167" s="47"/>
    </row>
    <row r="9168" spans="4:4" x14ac:dyDescent="0.45">
      <c r="D9168" s="47"/>
    </row>
    <row r="9169" spans="4:4" x14ac:dyDescent="0.45">
      <c r="D9169" s="47"/>
    </row>
    <row r="9170" spans="4:4" x14ac:dyDescent="0.45">
      <c r="D9170" s="47"/>
    </row>
    <row r="9171" spans="4:4" x14ac:dyDescent="0.45">
      <c r="D9171" s="47"/>
    </row>
    <row r="9172" spans="4:4" x14ac:dyDescent="0.45">
      <c r="D9172" s="47"/>
    </row>
    <row r="9173" spans="4:4" x14ac:dyDescent="0.45">
      <c r="D9173" s="47"/>
    </row>
    <row r="9174" spans="4:4" x14ac:dyDescent="0.45">
      <c r="D9174" s="47"/>
    </row>
    <row r="9175" spans="4:4" x14ac:dyDescent="0.45">
      <c r="D9175" s="47"/>
    </row>
    <row r="9176" spans="4:4" x14ac:dyDescent="0.45">
      <c r="D9176" s="47"/>
    </row>
    <row r="9177" spans="4:4" x14ac:dyDescent="0.45">
      <c r="D9177" s="47"/>
    </row>
    <row r="9178" spans="4:4" x14ac:dyDescent="0.45">
      <c r="D9178" s="47"/>
    </row>
    <row r="9179" spans="4:4" x14ac:dyDescent="0.45">
      <c r="D9179" s="47"/>
    </row>
    <row r="9180" spans="4:4" x14ac:dyDescent="0.45">
      <c r="D9180" s="47"/>
    </row>
    <row r="9181" spans="4:4" x14ac:dyDescent="0.45">
      <c r="D9181" s="47"/>
    </row>
    <row r="9182" spans="4:4" x14ac:dyDescent="0.45">
      <c r="D9182" s="47"/>
    </row>
    <row r="9183" spans="4:4" x14ac:dyDescent="0.45">
      <c r="D9183" s="47"/>
    </row>
    <row r="9184" spans="4:4" x14ac:dyDescent="0.45">
      <c r="D9184" s="47"/>
    </row>
    <row r="9185" spans="4:4" x14ac:dyDescent="0.45">
      <c r="D9185" s="47"/>
    </row>
    <row r="9186" spans="4:4" x14ac:dyDescent="0.45">
      <c r="D9186" s="47"/>
    </row>
    <row r="9187" spans="4:4" x14ac:dyDescent="0.45">
      <c r="D9187" s="47"/>
    </row>
    <row r="9188" spans="4:4" x14ac:dyDescent="0.45">
      <c r="D9188" s="47"/>
    </row>
    <row r="9189" spans="4:4" x14ac:dyDescent="0.45">
      <c r="D9189" s="47"/>
    </row>
    <row r="9190" spans="4:4" x14ac:dyDescent="0.45">
      <c r="D9190" s="47"/>
    </row>
    <row r="9191" spans="4:4" x14ac:dyDescent="0.45">
      <c r="D9191" s="47"/>
    </row>
    <row r="9192" spans="4:4" x14ac:dyDescent="0.45">
      <c r="D9192" s="47"/>
    </row>
    <row r="9193" spans="4:4" x14ac:dyDescent="0.45">
      <c r="D9193" s="47"/>
    </row>
    <row r="9194" spans="4:4" x14ac:dyDescent="0.45">
      <c r="D9194" s="47"/>
    </row>
    <row r="9195" spans="4:4" x14ac:dyDescent="0.45">
      <c r="D9195" s="47"/>
    </row>
    <row r="9196" spans="4:4" x14ac:dyDescent="0.45">
      <c r="D9196" s="47"/>
    </row>
    <row r="9197" spans="4:4" x14ac:dyDescent="0.45">
      <c r="D9197" s="47"/>
    </row>
    <row r="9198" spans="4:4" x14ac:dyDescent="0.45">
      <c r="D9198" s="47"/>
    </row>
    <row r="9199" spans="4:4" x14ac:dyDescent="0.45">
      <c r="D9199" s="47"/>
    </row>
    <row r="9200" spans="4:4" x14ac:dyDescent="0.45">
      <c r="D9200" s="47"/>
    </row>
    <row r="9201" spans="4:4" x14ac:dyDescent="0.45">
      <c r="D9201" s="47"/>
    </row>
    <row r="9202" spans="4:4" x14ac:dyDescent="0.45">
      <c r="D9202" s="47"/>
    </row>
    <row r="9203" spans="4:4" x14ac:dyDescent="0.45">
      <c r="D9203" s="47"/>
    </row>
    <row r="9204" spans="4:4" x14ac:dyDescent="0.45">
      <c r="D9204" s="47"/>
    </row>
    <row r="9205" spans="4:4" x14ac:dyDescent="0.45">
      <c r="D9205" s="47"/>
    </row>
    <row r="9206" spans="4:4" x14ac:dyDescent="0.45">
      <c r="D9206" s="47"/>
    </row>
    <row r="9207" spans="4:4" x14ac:dyDescent="0.45">
      <c r="D9207" s="47"/>
    </row>
    <row r="9208" spans="4:4" x14ac:dyDescent="0.45">
      <c r="D9208" s="47"/>
    </row>
    <row r="9209" spans="4:4" x14ac:dyDescent="0.45">
      <c r="D9209" s="47"/>
    </row>
    <row r="9210" spans="4:4" x14ac:dyDescent="0.45">
      <c r="D9210" s="47"/>
    </row>
    <row r="9211" spans="4:4" x14ac:dyDescent="0.45">
      <c r="D9211" s="47"/>
    </row>
    <row r="9212" spans="4:4" x14ac:dyDescent="0.45">
      <c r="D9212" s="47"/>
    </row>
    <row r="9213" spans="4:4" x14ac:dyDescent="0.45">
      <c r="D9213" s="47"/>
    </row>
    <row r="9214" spans="4:4" x14ac:dyDescent="0.45">
      <c r="D9214" s="47"/>
    </row>
    <row r="9215" spans="4:4" x14ac:dyDescent="0.45">
      <c r="D9215" s="47"/>
    </row>
    <row r="9216" spans="4:4" x14ac:dyDescent="0.45">
      <c r="D9216" s="47"/>
    </row>
    <row r="9217" spans="4:4" x14ac:dyDescent="0.45">
      <c r="D9217" s="47"/>
    </row>
    <row r="9218" spans="4:4" x14ac:dyDescent="0.45">
      <c r="D9218" s="47"/>
    </row>
    <row r="9219" spans="4:4" x14ac:dyDescent="0.45">
      <c r="D9219" s="47"/>
    </row>
    <row r="9220" spans="4:4" x14ac:dyDescent="0.45">
      <c r="D9220" s="47"/>
    </row>
    <row r="9221" spans="4:4" x14ac:dyDescent="0.45">
      <c r="D9221" s="47"/>
    </row>
    <row r="9222" spans="4:4" x14ac:dyDescent="0.45">
      <c r="D9222" s="47"/>
    </row>
    <row r="9223" spans="4:4" x14ac:dyDescent="0.45">
      <c r="D9223" s="47"/>
    </row>
    <row r="9224" spans="4:4" x14ac:dyDescent="0.45">
      <c r="D9224" s="47"/>
    </row>
    <row r="9225" spans="4:4" x14ac:dyDescent="0.45">
      <c r="D9225" s="47"/>
    </row>
    <row r="9226" spans="4:4" x14ac:dyDescent="0.45">
      <c r="D9226" s="47"/>
    </row>
    <row r="9227" spans="4:4" x14ac:dyDescent="0.45">
      <c r="D9227" s="47"/>
    </row>
    <row r="9228" spans="4:4" x14ac:dyDescent="0.45">
      <c r="D9228" s="47"/>
    </row>
    <row r="9229" spans="4:4" x14ac:dyDescent="0.45">
      <c r="D9229" s="47"/>
    </row>
    <row r="9230" spans="4:4" x14ac:dyDescent="0.45">
      <c r="D9230" s="47"/>
    </row>
    <row r="9231" spans="4:4" x14ac:dyDescent="0.45">
      <c r="D9231" s="47"/>
    </row>
    <row r="9232" spans="4:4" x14ac:dyDescent="0.45">
      <c r="D9232" s="47"/>
    </row>
    <row r="9233" spans="4:4" x14ac:dyDescent="0.45">
      <c r="D9233" s="47"/>
    </row>
    <row r="9234" spans="4:4" x14ac:dyDescent="0.45">
      <c r="D9234" s="47"/>
    </row>
    <row r="9235" spans="4:4" x14ac:dyDescent="0.45">
      <c r="D9235" s="47"/>
    </row>
    <row r="9236" spans="4:4" x14ac:dyDescent="0.45">
      <c r="D9236" s="47"/>
    </row>
    <row r="9237" spans="4:4" x14ac:dyDescent="0.45">
      <c r="D9237" s="47"/>
    </row>
    <row r="9238" spans="4:4" x14ac:dyDescent="0.45">
      <c r="D9238" s="47"/>
    </row>
    <row r="9239" spans="4:4" x14ac:dyDescent="0.45">
      <c r="D9239" s="47"/>
    </row>
    <row r="9240" spans="4:4" x14ac:dyDescent="0.45">
      <c r="D9240" s="47"/>
    </row>
    <row r="9241" spans="4:4" x14ac:dyDescent="0.45">
      <c r="D9241" s="47"/>
    </row>
    <row r="9242" spans="4:4" x14ac:dyDescent="0.45">
      <c r="D9242" s="47"/>
    </row>
    <row r="9243" spans="4:4" x14ac:dyDescent="0.45">
      <c r="D9243" s="47"/>
    </row>
    <row r="9244" spans="4:4" x14ac:dyDescent="0.45">
      <c r="D9244" s="47"/>
    </row>
    <row r="9245" spans="4:4" x14ac:dyDescent="0.45">
      <c r="D9245" s="47"/>
    </row>
    <row r="9246" spans="4:4" x14ac:dyDescent="0.45">
      <c r="D9246" s="47"/>
    </row>
    <row r="9247" spans="4:4" x14ac:dyDescent="0.45">
      <c r="D9247" s="47"/>
    </row>
    <row r="9248" spans="4:4" x14ac:dyDescent="0.45">
      <c r="D9248" s="47"/>
    </row>
    <row r="9249" spans="4:4" x14ac:dyDescent="0.45">
      <c r="D9249" s="47"/>
    </row>
    <row r="9250" spans="4:4" x14ac:dyDescent="0.45">
      <c r="D9250" s="47"/>
    </row>
    <row r="9251" spans="4:4" x14ac:dyDescent="0.45">
      <c r="D9251" s="47"/>
    </row>
    <row r="9252" spans="4:4" x14ac:dyDescent="0.45">
      <c r="D9252" s="47"/>
    </row>
    <row r="9253" spans="4:4" x14ac:dyDescent="0.45">
      <c r="D9253" s="47"/>
    </row>
    <row r="9254" spans="4:4" x14ac:dyDescent="0.45">
      <c r="D9254" s="47"/>
    </row>
    <row r="9255" spans="4:4" x14ac:dyDescent="0.45">
      <c r="D9255" s="47"/>
    </row>
    <row r="9256" spans="4:4" x14ac:dyDescent="0.45">
      <c r="D9256" s="47"/>
    </row>
    <row r="9257" spans="4:4" x14ac:dyDescent="0.45">
      <c r="D9257" s="47"/>
    </row>
    <row r="9258" spans="4:4" x14ac:dyDescent="0.45">
      <c r="D9258" s="47"/>
    </row>
    <row r="9259" spans="4:4" x14ac:dyDescent="0.45">
      <c r="D9259" s="47"/>
    </row>
    <row r="9260" spans="4:4" x14ac:dyDescent="0.45">
      <c r="D9260" s="47"/>
    </row>
    <row r="9261" spans="4:4" x14ac:dyDescent="0.45">
      <c r="D9261" s="47"/>
    </row>
    <row r="9262" spans="4:4" x14ac:dyDescent="0.45">
      <c r="D9262" s="47"/>
    </row>
    <row r="9263" spans="4:4" x14ac:dyDescent="0.45">
      <c r="D9263" s="47"/>
    </row>
    <row r="9264" spans="4:4" x14ac:dyDescent="0.45">
      <c r="D9264" s="47"/>
    </row>
    <row r="9265" spans="4:4" x14ac:dyDescent="0.45">
      <c r="D9265" s="47"/>
    </row>
    <row r="9266" spans="4:4" x14ac:dyDescent="0.45">
      <c r="D9266" s="47"/>
    </row>
    <row r="9267" spans="4:4" x14ac:dyDescent="0.45">
      <c r="D9267" s="47"/>
    </row>
    <row r="9268" spans="4:4" x14ac:dyDescent="0.45">
      <c r="D9268" s="47"/>
    </row>
    <row r="9269" spans="4:4" x14ac:dyDescent="0.45">
      <c r="D9269" s="47"/>
    </row>
    <row r="9270" spans="4:4" x14ac:dyDescent="0.45">
      <c r="D9270" s="47"/>
    </row>
    <row r="9271" spans="4:4" x14ac:dyDescent="0.45">
      <c r="D9271" s="47"/>
    </row>
    <row r="9272" spans="4:4" x14ac:dyDescent="0.45">
      <c r="D9272" s="47"/>
    </row>
    <row r="9273" spans="4:4" x14ac:dyDescent="0.45">
      <c r="D9273" s="47"/>
    </row>
    <row r="9274" spans="4:4" x14ac:dyDescent="0.45">
      <c r="D9274" s="47"/>
    </row>
    <row r="9275" spans="4:4" x14ac:dyDescent="0.45">
      <c r="D9275" s="47"/>
    </row>
    <row r="9276" spans="4:4" x14ac:dyDescent="0.45">
      <c r="D9276" s="47"/>
    </row>
    <row r="9277" spans="4:4" x14ac:dyDescent="0.45">
      <c r="D9277" s="47"/>
    </row>
    <row r="9278" spans="4:4" x14ac:dyDescent="0.45">
      <c r="D9278" s="47"/>
    </row>
    <row r="9279" spans="4:4" x14ac:dyDescent="0.45">
      <c r="D9279" s="47"/>
    </row>
    <row r="9280" spans="4:4" x14ac:dyDescent="0.45">
      <c r="D9280" s="47"/>
    </row>
    <row r="9281" spans="4:4" x14ac:dyDescent="0.45">
      <c r="D9281" s="47"/>
    </row>
    <row r="9282" spans="4:4" x14ac:dyDescent="0.45">
      <c r="D9282" s="47"/>
    </row>
    <row r="9283" spans="4:4" x14ac:dyDescent="0.45">
      <c r="D9283" s="47"/>
    </row>
    <row r="9284" spans="4:4" x14ac:dyDescent="0.45">
      <c r="D9284" s="47"/>
    </row>
    <row r="9285" spans="4:4" x14ac:dyDescent="0.45">
      <c r="D9285" s="47"/>
    </row>
    <row r="9286" spans="4:4" x14ac:dyDescent="0.45">
      <c r="D9286" s="47"/>
    </row>
    <row r="9287" spans="4:4" x14ac:dyDescent="0.45">
      <c r="D9287" s="47"/>
    </row>
    <row r="9288" spans="4:4" x14ac:dyDescent="0.45">
      <c r="D9288" s="47"/>
    </row>
    <row r="9289" spans="4:4" x14ac:dyDescent="0.45">
      <c r="D9289" s="47"/>
    </row>
    <row r="9290" spans="4:4" x14ac:dyDescent="0.45">
      <c r="D9290" s="47"/>
    </row>
    <row r="9291" spans="4:4" x14ac:dyDescent="0.45">
      <c r="D9291" s="47"/>
    </row>
    <row r="9292" spans="4:4" x14ac:dyDescent="0.45">
      <c r="D9292" s="47"/>
    </row>
    <row r="9293" spans="4:4" x14ac:dyDescent="0.45">
      <c r="D9293" s="47"/>
    </row>
    <row r="9294" spans="4:4" x14ac:dyDescent="0.45">
      <c r="D9294" s="47"/>
    </row>
    <row r="9295" spans="4:4" x14ac:dyDescent="0.45">
      <c r="D9295" s="47"/>
    </row>
    <row r="9296" spans="4:4" x14ac:dyDescent="0.45">
      <c r="D9296" s="47"/>
    </row>
    <row r="9297" spans="4:4" x14ac:dyDescent="0.45">
      <c r="D9297" s="47"/>
    </row>
    <row r="9298" spans="4:4" x14ac:dyDescent="0.45">
      <c r="D9298" s="47"/>
    </row>
    <row r="9299" spans="4:4" x14ac:dyDescent="0.45">
      <c r="D9299" s="47"/>
    </row>
    <row r="9300" spans="4:4" x14ac:dyDescent="0.45">
      <c r="D9300" s="47"/>
    </row>
    <row r="9301" spans="4:4" x14ac:dyDescent="0.45">
      <c r="D9301" s="47"/>
    </row>
    <row r="9302" spans="4:4" x14ac:dyDescent="0.45">
      <c r="D9302" s="47"/>
    </row>
    <row r="9303" spans="4:4" x14ac:dyDescent="0.45">
      <c r="D9303" s="47"/>
    </row>
    <row r="9304" spans="4:4" x14ac:dyDescent="0.45">
      <c r="D9304" s="47"/>
    </row>
    <row r="9305" spans="4:4" x14ac:dyDescent="0.45">
      <c r="D9305" s="47"/>
    </row>
    <row r="9306" spans="4:4" x14ac:dyDescent="0.45">
      <c r="D9306" s="47"/>
    </row>
    <row r="9307" spans="4:4" x14ac:dyDescent="0.45">
      <c r="D9307" s="47"/>
    </row>
    <row r="9308" spans="4:4" x14ac:dyDescent="0.45">
      <c r="D9308" s="47"/>
    </row>
    <row r="9309" spans="4:4" x14ac:dyDescent="0.45">
      <c r="D9309" s="47"/>
    </row>
    <row r="9310" spans="4:4" x14ac:dyDescent="0.45">
      <c r="D9310" s="47"/>
    </row>
    <row r="9311" spans="4:4" x14ac:dyDescent="0.45">
      <c r="D9311" s="47"/>
    </row>
    <row r="9312" spans="4:4" x14ac:dyDescent="0.45">
      <c r="D9312" s="47"/>
    </row>
    <row r="9313" spans="4:4" x14ac:dyDescent="0.45">
      <c r="D9313" s="47"/>
    </row>
    <row r="9314" spans="4:4" x14ac:dyDescent="0.45">
      <c r="D9314" s="47"/>
    </row>
    <row r="9315" spans="4:4" x14ac:dyDescent="0.45">
      <c r="D9315" s="47"/>
    </row>
    <row r="9316" spans="4:4" x14ac:dyDescent="0.45">
      <c r="D9316" s="47"/>
    </row>
    <row r="9317" spans="4:4" x14ac:dyDescent="0.45">
      <c r="D9317" s="47"/>
    </row>
    <row r="9318" spans="4:4" x14ac:dyDescent="0.45">
      <c r="D9318" s="47"/>
    </row>
    <row r="9319" spans="4:4" x14ac:dyDescent="0.45">
      <c r="D9319" s="47"/>
    </row>
    <row r="9320" spans="4:4" x14ac:dyDescent="0.45">
      <c r="D9320" s="47"/>
    </row>
    <row r="9321" spans="4:4" x14ac:dyDescent="0.45">
      <c r="D9321" s="47"/>
    </row>
    <row r="9322" spans="4:4" x14ac:dyDescent="0.45">
      <c r="D9322" s="47"/>
    </row>
    <row r="9323" spans="4:4" x14ac:dyDescent="0.45">
      <c r="D9323" s="47"/>
    </row>
    <row r="9324" spans="4:4" x14ac:dyDescent="0.45">
      <c r="D9324" s="47"/>
    </row>
    <row r="9325" spans="4:4" x14ac:dyDescent="0.45">
      <c r="D9325" s="47"/>
    </row>
    <row r="9326" spans="4:4" x14ac:dyDescent="0.45">
      <c r="D9326" s="47"/>
    </row>
    <row r="9327" spans="4:4" x14ac:dyDescent="0.45">
      <c r="D9327" s="47"/>
    </row>
    <row r="9328" spans="4:4" x14ac:dyDescent="0.45">
      <c r="D9328" s="47"/>
    </row>
    <row r="9329" spans="4:4" x14ac:dyDescent="0.45">
      <c r="D9329" s="47"/>
    </row>
    <row r="9330" spans="4:4" x14ac:dyDescent="0.45">
      <c r="D9330" s="47"/>
    </row>
    <row r="9331" spans="4:4" x14ac:dyDescent="0.45">
      <c r="D9331" s="47"/>
    </row>
    <row r="9332" spans="4:4" x14ac:dyDescent="0.45">
      <c r="D9332" s="47"/>
    </row>
    <row r="9333" spans="4:4" x14ac:dyDescent="0.45">
      <c r="D9333" s="47"/>
    </row>
    <row r="9334" spans="4:4" x14ac:dyDescent="0.45">
      <c r="D9334" s="47"/>
    </row>
    <row r="9335" spans="4:4" x14ac:dyDescent="0.45">
      <c r="D9335" s="47"/>
    </row>
    <row r="9336" spans="4:4" x14ac:dyDescent="0.45">
      <c r="D9336" s="47"/>
    </row>
    <row r="9337" spans="4:4" x14ac:dyDescent="0.45">
      <c r="D9337" s="47"/>
    </row>
    <row r="9338" spans="4:4" x14ac:dyDescent="0.45">
      <c r="D9338" s="47"/>
    </row>
    <row r="9339" spans="4:4" x14ac:dyDescent="0.45">
      <c r="D9339" s="47"/>
    </row>
    <row r="9340" spans="4:4" x14ac:dyDescent="0.45">
      <c r="D9340" s="47"/>
    </row>
    <row r="9341" spans="4:4" x14ac:dyDescent="0.45">
      <c r="D9341" s="47"/>
    </row>
    <row r="9342" spans="4:4" x14ac:dyDescent="0.45">
      <c r="D9342" s="47"/>
    </row>
    <row r="9343" spans="4:4" x14ac:dyDescent="0.45">
      <c r="D9343" s="47"/>
    </row>
    <row r="9344" spans="4:4" x14ac:dyDescent="0.45">
      <c r="D9344" s="47"/>
    </row>
    <row r="9345" spans="4:4" x14ac:dyDescent="0.45">
      <c r="D9345" s="47"/>
    </row>
    <row r="9346" spans="4:4" x14ac:dyDescent="0.45">
      <c r="D9346" s="47"/>
    </row>
    <row r="9347" spans="4:4" x14ac:dyDescent="0.45">
      <c r="D9347" s="47"/>
    </row>
    <row r="9348" spans="4:4" x14ac:dyDescent="0.45">
      <c r="D9348" s="47"/>
    </row>
    <row r="9349" spans="4:4" x14ac:dyDescent="0.45">
      <c r="D9349" s="47"/>
    </row>
    <row r="9350" spans="4:4" x14ac:dyDescent="0.45">
      <c r="D9350" s="47"/>
    </row>
    <row r="9351" spans="4:4" x14ac:dyDescent="0.45">
      <c r="D9351" s="47"/>
    </row>
    <row r="9352" spans="4:4" x14ac:dyDescent="0.45">
      <c r="D9352" s="47"/>
    </row>
    <row r="9353" spans="4:4" x14ac:dyDescent="0.45">
      <c r="D9353" s="47"/>
    </row>
    <row r="9354" spans="4:4" x14ac:dyDescent="0.45">
      <c r="D9354" s="47"/>
    </row>
    <row r="9355" spans="4:4" x14ac:dyDescent="0.45">
      <c r="D9355" s="47"/>
    </row>
    <row r="9356" spans="4:4" x14ac:dyDescent="0.45">
      <c r="D9356" s="47"/>
    </row>
    <row r="9357" spans="4:4" x14ac:dyDescent="0.45">
      <c r="D9357" s="47"/>
    </row>
    <row r="9358" spans="4:4" x14ac:dyDescent="0.45">
      <c r="D9358" s="47"/>
    </row>
    <row r="9359" spans="4:4" x14ac:dyDescent="0.45">
      <c r="D9359" s="47"/>
    </row>
    <row r="9360" spans="4:4" x14ac:dyDescent="0.45">
      <c r="D9360" s="47"/>
    </row>
    <row r="9361" spans="4:4" x14ac:dyDescent="0.45">
      <c r="D9361" s="47"/>
    </row>
    <row r="9362" spans="4:4" x14ac:dyDescent="0.45">
      <c r="D9362" s="47"/>
    </row>
    <row r="9363" spans="4:4" x14ac:dyDescent="0.45">
      <c r="D9363" s="47"/>
    </row>
    <row r="9364" spans="4:4" x14ac:dyDescent="0.45">
      <c r="D9364" s="47"/>
    </row>
    <row r="9365" spans="4:4" x14ac:dyDescent="0.45">
      <c r="D9365" s="47"/>
    </row>
    <row r="9366" spans="4:4" x14ac:dyDescent="0.45">
      <c r="D9366" s="47"/>
    </row>
    <row r="9367" spans="4:4" x14ac:dyDescent="0.45">
      <c r="D9367" s="47"/>
    </row>
    <row r="9368" spans="4:4" x14ac:dyDescent="0.45">
      <c r="D9368" s="47"/>
    </row>
    <row r="9369" spans="4:4" x14ac:dyDescent="0.45">
      <c r="D9369" s="47"/>
    </row>
    <row r="9370" spans="4:4" x14ac:dyDescent="0.45">
      <c r="D9370" s="47"/>
    </row>
    <row r="9371" spans="4:4" x14ac:dyDescent="0.45">
      <c r="D9371" s="47"/>
    </row>
    <row r="9372" spans="4:4" x14ac:dyDescent="0.45">
      <c r="D9372" s="47"/>
    </row>
    <row r="9373" spans="4:4" x14ac:dyDescent="0.45">
      <c r="D9373" s="47"/>
    </row>
    <row r="9374" spans="4:4" x14ac:dyDescent="0.45">
      <c r="D9374" s="47"/>
    </row>
    <row r="9375" spans="4:4" x14ac:dyDescent="0.45">
      <c r="D9375" s="47"/>
    </row>
    <row r="9376" spans="4:4" x14ac:dyDescent="0.45">
      <c r="D9376" s="47"/>
    </row>
    <row r="9377" spans="4:4" x14ac:dyDescent="0.45">
      <c r="D9377" s="47"/>
    </row>
    <row r="9378" spans="4:4" x14ac:dyDescent="0.45">
      <c r="D9378" s="47"/>
    </row>
    <row r="9379" spans="4:4" x14ac:dyDescent="0.45">
      <c r="D9379" s="47"/>
    </row>
    <row r="9380" spans="4:4" x14ac:dyDescent="0.45">
      <c r="D9380" s="47"/>
    </row>
    <row r="9381" spans="4:4" x14ac:dyDescent="0.45">
      <c r="D9381" s="47"/>
    </row>
    <row r="9382" spans="4:4" x14ac:dyDescent="0.45">
      <c r="D9382" s="47"/>
    </row>
    <row r="9383" spans="4:4" x14ac:dyDescent="0.45">
      <c r="D9383" s="47"/>
    </row>
    <row r="9384" spans="4:4" x14ac:dyDescent="0.45">
      <c r="D9384" s="47"/>
    </row>
    <row r="9385" spans="4:4" x14ac:dyDescent="0.45">
      <c r="D9385" s="47"/>
    </row>
    <row r="9386" spans="4:4" x14ac:dyDescent="0.45">
      <c r="D9386" s="47"/>
    </row>
    <row r="9387" spans="4:4" x14ac:dyDescent="0.45">
      <c r="D9387" s="47"/>
    </row>
    <row r="9388" spans="4:4" x14ac:dyDescent="0.45">
      <c r="D9388" s="47"/>
    </row>
    <row r="9389" spans="4:4" x14ac:dyDescent="0.45">
      <c r="D9389" s="47"/>
    </row>
    <row r="9390" spans="4:4" x14ac:dyDescent="0.45">
      <c r="D9390" s="47"/>
    </row>
    <row r="9391" spans="4:4" x14ac:dyDescent="0.45">
      <c r="D9391" s="47"/>
    </row>
    <row r="9392" spans="4:4" x14ac:dyDescent="0.45">
      <c r="D9392" s="47"/>
    </row>
    <row r="9393" spans="4:4" x14ac:dyDescent="0.45">
      <c r="D9393" s="47"/>
    </row>
    <row r="9394" spans="4:4" x14ac:dyDescent="0.45">
      <c r="D9394" s="47"/>
    </row>
    <row r="9395" spans="4:4" x14ac:dyDescent="0.45">
      <c r="D9395" s="47"/>
    </row>
    <row r="9396" spans="4:4" x14ac:dyDescent="0.45">
      <c r="D9396" s="47"/>
    </row>
    <row r="9397" spans="4:4" x14ac:dyDescent="0.45">
      <c r="D9397" s="47"/>
    </row>
    <row r="9398" spans="4:4" x14ac:dyDescent="0.45">
      <c r="D9398" s="47"/>
    </row>
    <row r="9399" spans="4:4" x14ac:dyDescent="0.45">
      <c r="D9399" s="47"/>
    </row>
    <row r="9400" spans="4:4" x14ac:dyDescent="0.45">
      <c r="D9400" s="47"/>
    </row>
    <row r="9401" spans="4:4" x14ac:dyDescent="0.45">
      <c r="D9401" s="47"/>
    </row>
    <row r="9402" spans="4:4" x14ac:dyDescent="0.45">
      <c r="D9402" s="47"/>
    </row>
    <row r="9403" spans="4:4" x14ac:dyDescent="0.45">
      <c r="D9403" s="47"/>
    </row>
    <row r="9404" spans="4:4" x14ac:dyDescent="0.45">
      <c r="D9404" s="47"/>
    </row>
    <row r="9405" spans="4:4" x14ac:dyDescent="0.45">
      <c r="D9405" s="47"/>
    </row>
    <row r="9406" spans="4:4" x14ac:dyDescent="0.45">
      <c r="D9406" s="47"/>
    </row>
    <row r="9407" spans="4:4" x14ac:dyDescent="0.45">
      <c r="D9407" s="47"/>
    </row>
    <row r="9408" spans="4:4" x14ac:dyDescent="0.45">
      <c r="D9408" s="47"/>
    </row>
    <row r="9409" spans="4:4" x14ac:dyDescent="0.45">
      <c r="D9409" s="47"/>
    </row>
    <row r="9410" spans="4:4" x14ac:dyDescent="0.45">
      <c r="D9410" s="47"/>
    </row>
    <row r="9411" spans="4:4" x14ac:dyDescent="0.45">
      <c r="D9411" s="47"/>
    </row>
    <row r="9412" spans="4:4" x14ac:dyDescent="0.45">
      <c r="D9412" s="47"/>
    </row>
    <row r="9413" spans="4:4" x14ac:dyDescent="0.45">
      <c r="D9413" s="47"/>
    </row>
    <row r="9414" spans="4:4" x14ac:dyDescent="0.45">
      <c r="D9414" s="47"/>
    </row>
    <row r="9415" spans="4:4" x14ac:dyDescent="0.45">
      <c r="D9415" s="47"/>
    </row>
    <row r="9416" spans="4:4" x14ac:dyDescent="0.45">
      <c r="D9416" s="47"/>
    </row>
    <row r="9417" spans="4:4" x14ac:dyDescent="0.45">
      <c r="D9417" s="47"/>
    </row>
    <row r="9418" spans="4:4" x14ac:dyDescent="0.45">
      <c r="D9418" s="47"/>
    </row>
    <row r="9419" spans="4:4" x14ac:dyDescent="0.45">
      <c r="D9419" s="47"/>
    </row>
    <row r="9420" spans="4:4" x14ac:dyDescent="0.45">
      <c r="D9420" s="47"/>
    </row>
    <row r="9421" spans="4:4" x14ac:dyDescent="0.45">
      <c r="D9421" s="47"/>
    </row>
    <row r="9422" spans="4:4" x14ac:dyDescent="0.45">
      <c r="D9422" s="47"/>
    </row>
    <row r="9423" spans="4:4" x14ac:dyDescent="0.45">
      <c r="D9423" s="47"/>
    </row>
    <row r="9424" spans="4:4" x14ac:dyDescent="0.45">
      <c r="D9424" s="47"/>
    </row>
    <row r="9425" spans="4:4" x14ac:dyDescent="0.45">
      <c r="D9425" s="47"/>
    </row>
    <row r="9426" spans="4:4" x14ac:dyDescent="0.45">
      <c r="D9426" s="47"/>
    </row>
    <row r="9427" spans="4:4" x14ac:dyDescent="0.45">
      <c r="D9427" s="47"/>
    </row>
    <row r="9428" spans="4:4" x14ac:dyDescent="0.45">
      <c r="D9428" s="47"/>
    </row>
    <row r="9429" spans="4:4" x14ac:dyDescent="0.45">
      <c r="D9429" s="47"/>
    </row>
    <row r="9430" spans="4:4" x14ac:dyDescent="0.45">
      <c r="D9430" s="47"/>
    </row>
    <row r="9431" spans="4:4" x14ac:dyDescent="0.45">
      <c r="D9431" s="47"/>
    </row>
    <row r="9432" spans="4:4" x14ac:dyDescent="0.45">
      <c r="D9432" s="47"/>
    </row>
    <row r="9433" spans="4:4" x14ac:dyDescent="0.45">
      <c r="D9433" s="47"/>
    </row>
    <row r="9434" spans="4:4" x14ac:dyDescent="0.45">
      <c r="D9434" s="47"/>
    </row>
    <row r="9435" spans="4:4" x14ac:dyDescent="0.45">
      <c r="D9435" s="47"/>
    </row>
    <row r="9436" spans="4:4" x14ac:dyDescent="0.45">
      <c r="D9436" s="47"/>
    </row>
    <row r="9437" spans="4:4" x14ac:dyDescent="0.45">
      <c r="D9437" s="47"/>
    </row>
    <row r="9438" spans="4:4" x14ac:dyDescent="0.45">
      <c r="D9438" s="47"/>
    </row>
    <row r="9439" spans="4:4" x14ac:dyDescent="0.45">
      <c r="D9439" s="47"/>
    </row>
    <row r="9440" spans="4:4" x14ac:dyDescent="0.45">
      <c r="D9440" s="47"/>
    </row>
    <row r="9441" spans="4:4" x14ac:dyDescent="0.45">
      <c r="D9441" s="47"/>
    </row>
    <row r="9442" spans="4:4" x14ac:dyDescent="0.45">
      <c r="D9442" s="47"/>
    </row>
    <row r="9443" spans="4:4" x14ac:dyDescent="0.45">
      <c r="D9443" s="47"/>
    </row>
    <row r="9444" spans="4:4" x14ac:dyDescent="0.45">
      <c r="D9444" s="47"/>
    </row>
    <row r="9445" spans="4:4" x14ac:dyDescent="0.45">
      <c r="D9445" s="47"/>
    </row>
    <row r="9446" spans="4:4" x14ac:dyDescent="0.45">
      <c r="D9446" s="47"/>
    </row>
    <row r="9447" spans="4:4" x14ac:dyDescent="0.45">
      <c r="D9447" s="47"/>
    </row>
    <row r="9448" spans="4:4" x14ac:dyDescent="0.45">
      <c r="D9448" s="47"/>
    </row>
    <row r="9449" spans="4:4" x14ac:dyDescent="0.45">
      <c r="D9449" s="47"/>
    </row>
    <row r="9450" spans="4:4" x14ac:dyDescent="0.45">
      <c r="D9450" s="47"/>
    </row>
    <row r="9451" spans="4:4" x14ac:dyDescent="0.45">
      <c r="D9451" s="47"/>
    </row>
    <row r="9452" spans="4:4" x14ac:dyDescent="0.45">
      <c r="D9452" s="47"/>
    </row>
    <row r="9453" spans="4:4" x14ac:dyDescent="0.45">
      <c r="D9453" s="47"/>
    </row>
    <row r="9454" spans="4:4" x14ac:dyDescent="0.45">
      <c r="D9454" s="47"/>
    </row>
    <row r="9455" spans="4:4" x14ac:dyDescent="0.45">
      <c r="D9455" s="47"/>
    </row>
    <row r="9456" spans="4:4" x14ac:dyDescent="0.45">
      <c r="D9456" s="47"/>
    </row>
    <row r="9457" spans="4:4" x14ac:dyDescent="0.45">
      <c r="D9457" s="47"/>
    </row>
    <row r="9458" spans="4:4" x14ac:dyDescent="0.45">
      <c r="D9458" s="47"/>
    </row>
    <row r="9459" spans="4:4" x14ac:dyDescent="0.45">
      <c r="D9459" s="47"/>
    </row>
    <row r="9460" spans="4:4" x14ac:dyDescent="0.45">
      <c r="D9460" s="47"/>
    </row>
    <row r="9461" spans="4:4" x14ac:dyDescent="0.45">
      <c r="D9461" s="47"/>
    </row>
    <row r="9462" spans="4:4" x14ac:dyDescent="0.45">
      <c r="D9462" s="47"/>
    </row>
    <row r="9463" spans="4:4" x14ac:dyDescent="0.45">
      <c r="D9463" s="47"/>
    </row>
    <row r="9464" spans="4:4" x14ac:dyDescent="0.45">
      <c r="D9464" s="47"/>
    </row>
    <row r="9465" spans="4:4" x14ac:dyDescent="0.45">
      <c r="D9465" s="47"/>
    </row>
    <row r="9466" spans="4:4" x14ac:dyDescent="0.45">
      <c r="D9466" s="47"/>
    </row>
    <row r="9467" spans="4:4" x14ac:dyDescent="0.45">
      <c r="D9467" s="47"/>
    </row>
    <row r="9468" spans="4:4" x14ac:dyDescent="0.45">
      <c r="D9468" s="47"/>
    </row>
    <row r="9469" spans="4:4" x14ac:dyDescent="0.45">
      <c r="D9469" s="47"/>
    </row>
    <row r="9470" spans="4:4" x14ac:dyDescent="0.45">
      <c r="D9470" s="47"/>
    </row>
    <row r="9471" spans="4:4" x14ac:dyDescent="0.45">
      <c r="D9471" s="47"/>
    </row>
    <row r="9472" spans="4:4" x14ac:dyDescent="0.45">
      <c r="D9472" s="47"/>
    </row>
    <row r="9473" spans="4:4" x14ac:dyDescent="0.45">
      <c r="D9473" s="47"/>
    </row>
    <row r="9474" spans="4:4" x14ac:dyDescent="0.45">
      <c r="D9474" s="47"/>
    </row>
    <row r="9475" spans="4:4" x14ac:dyDescent="0.45">
      <c r="D9475" s="47"/>
    </row>
    <row r="9476" spans="4:4" x14ac:dyDescent="0.45">
      <c r="D9476" s="47"/>
    </row>
    <row r="9477" spans="4:4" x14ac:dyDescent="0.45">
      <c r="D9477" s="47"/>
    </row>
    <row r="9478" spans="4:4" x14ac:dyDescent="0.45">
      <c r="D9478" s="47"/>
    </row>
    <row r="9479" spans="4:4" x14ac:dyDescent="0.45">
      <c r="D9479" s="47"/>
    </row>
    <row r="9480" spans="4:4" x14ac:dyDescent="0.45">
      <c r="D9480" s="47"/>
    </row>
    <row r="9481" spans="4:4" x14ac:dyDescent="0.45">
      <c r="D9481" s="47"/>
    </row>
    <row r="9482" spans="4:4" x14ac:dyDescent="0.45">
      <c r="D9482" s="47"/>
    </row>
    <row r="9483" spans="4:4" x14ac:dyDescent="0.45">
      <c r="D9483" s="47"/>
    </row>
    <row r="9484" spans="4:4" x14ac:dyDescent="0.45">
      <c r="D9484" s="47"/>
    </row>
    <row r="9485" spans="4:4" x14ac:dyDescent="0.45">
      <c r="D9485" s="47"/>
    </row>
    <row r="9486" spans="4:4" x14ac:dyDescent="0.45">
      <c r="D9486" s="47"/>
    </row>
    <row r="9487" spans="4:4" x14ac:dyDescent="0.45">
      <c r="D9487" s="47"/>
    </row>
    <row r="9488" spans="4:4" x14ac:dyDescent="0.45">
      <c r="D9488" s="47"/>
    </row>
    <row r="9489" spans="4:4" x14ac:dyDescent="0.45">
      <c r="D9489" s="47"/>
    </row>
    <row r="9490" spans="4:4" x14ac:dyDescent="0.45">
      <c r="D9490" s="47"/>
    </row>
    <row r="9491" spans="4:4" x14ac:dyDescent="0.45">
      <c r="D9491" s="47"/>
    </row>
    <row r="9492" spans="4:4" x14ac:dyDescent="0.45">
      <c r="D9492" s="47"/>
    </row>
    <row r="9493" spans="4:4" x14ac:dyDescent="0.45">
      <c r="D9493" s="47"/>
    </row>
    <row r="9494" spans="4:4" x14ac:dyDescent="0.45">
      <c r="D9494" s="47"/>
    </row>
    <row r="9495" spans="4:4" x14ac:dyDescent="0.45">
      <c r="D9495" s="47"/>
    </row>
    <row r="9496" spans="4:4" x14ac:dyDescent="0.45">
      <c r="D9496" s="47"/>
    </row>
    <row r="9497" spans="4:4" x14ac:dyDescent="0.45">
      <c r="D9497" s="47"/>
    </row>
    <row r="9498" spans="4:4" x14ac:dyDescent="0.45">
      <c r="D9498" s="47"/>
    </row>
    <row r="9499" spans="4:4" x14ac:dyDescent="0.45">
      <c r="D9499" s="47"/>
    </row>
    <row r="9500" spans="4:4" x14ac:dyDescent="0.45">
      <c r="D9500" s="47"/>
    </row>
    <row r="9501" spans="4:4" x14ac:dyDescent="0.45">
      <c r="D9501" s="47"/>
    </row>
    <row r="9502" spans="4:4" x14ac:dyDescent="0.45">
      <c r="D9502" s="47"/>
    </row>
    <row r="9503" spans="4:4" x14ac:dyDescent="0.45">
      <c r="D9503" s="47"/>
    </row>
    <row r="9504" spans="4:4" x14ac:dyDescent="0.45">
      <c r="D9504" s="47"/>
    </row>
    <row r="9505" spans="4:4" x14ac:dyDescent="0.45">
      <c r="D9505" s="47"/>
    </row>
    <row r="9506" spans="4:4" x14ac:dyDescent="0.45">
      <c r="D9506" s="47"/>
    </row>
    <row r="9507" spans="4:4" x14ac:dyDescent="0.45">
      <c r="D9507" s="47"/>
    </row>
    <row r="9508" spans="4:4" x14ac:dyDescent="0.45">
      <c r="D9508" s="47"/>
    </row>
    <row r="9509" spans="4:4" x14ac:dyDescent="0.45">
      <c r="D9509" s="47"/>
    </row>
    <row r="9510" spans="4:4" x14ac:dyDescent="0.45">
      <c r="D9510" s="47"/>
    </row>
    <row r="9511" spans="4:4" x14ac:dyDescent="0.45">
      <c r="D9511" s="47"/>
    </row>
    <row r="9512" spans="4:4" x14ac:dyDescent="0.45">
      <c r="D9512" s="47"/>
    </row>
    <row r="9513" spans="4:4" x14ac:dyDescent="0.45">
      <c r="D9513" s="47"/>
    </row>
    <row r="9514" spans="4:4" x14ac:dyDescent="0.45">
      <c r="D9514" s="47"/>
    </row>
    <row r="9515" spans="4:4" x14ac:dyDescent="0.45">
      <c r="D9515" s="47"/>
    </row>
    <row r="9516" spans="4:4" x14ac:dyDescent="0.45">
      <c r="D9516" s="47"/>
    </row>
    <row r="9517" spans="4:4" x14ac:dyDescent="0.45">
      <c r="D9517" s="47"/>
    </row>
    <row r="9518" spans="4:4" x14ac:dyDescent="0.45">
      <c r="D9518" s="47"/>
    </row>
    <row r="9519" spans="4:4" x14ac:dyDescent="0.45">
      <c r="D9519" s="47"/>
    </row>
    <row r="9520" spans="4:4" x14ac:dyDescent="0.45">
      <c r="D9520" s="47"/>
    </row>
    <row r="9521" spans="4:4" x14ac:dyDescent="0.45">
      <c r="D9521" s="47"/>
    </row>
    <row r="9522" spans="4:4" x14ac:dyDescent="0.45">
      <c r="D9522" s="47"/>
    </row>
    <row r="9523" spans="4:4" x14ac:dyDescent="0.45">
      <c r="D9523" s="47"/>
    </row>
    <row r="9524" spans="4:4" x14ac:dyDescent="0.45">
      <c r="D9524" s="47"/>
    </row>
    <row r="9525" spans="4:4" x14ac:dyDescent="0.45">
      <c r="D9525" s="47"/>
    </row>
    <row r="9526" spans="4:4" x14ac:dyDescent="0.45">
      <c r="D9526" s="47"/>
    </row>
    <row r="9527" spans="4:4" x14ac:dyDescent="0.45">
      <c r="D9527" s="47"/>
    </row>
    <row r="9528" spans="4:4" x14ac:dyDescent="0.45">
      <c r="D9528" s="47"/>
    </row>
    <row r="9529" spans="4:4" x14ac:dyDescent="0.45">
      <c r="D9529" s="47"/>
    </row>
    <row r="9530" spans="4:4" x14ac:dyDescent="0.45">
      <c r="D9530" s="47"/>
    </row>
    <row r="9531" spans="4:4" x14ac:dyDescent="0.45">
      <c r="D9531" s="47"/>
    </row>
    <row r="9532" spans="4:4" x14ac:dyDescent="0.45">
      <c r="D9532" s="47"/>
    </row>
    <row r="9533" spans="4:4" x14ac:dyDescent="0.45">
      <c r="D9533" s="47"/>
    </row>
    <row r="9534" spans="4:4" x14ac:dyDescent="0.45">
      <c r="D9534" s="47"/>
    </row>
    <row r="9535" spans="4:4" x14ac:dyDescent="0.45">
      <c r="D9535" s="47"/>
    </row>
    <row r="9536" spans="4:4" x14ac:dyDescent="0.45">
      <c r="D9536" s="47"/>
    </row>
    <row r="9537" spans="4:4" x14ac:dyDescent="0.45">
      <c r="D9537" s="47"/>
    </row>
    <row r="9538" spans="4:4" x14ac:dyDescent="0.45">
      <c r="D9538" s="47"/>
    </row>
    <row r="9539" spans="4:4" x14ac:dyDescent="0.45">
      <c r="D9539" s="47"/>
    </row>
    <row r="9540" spans="4:4" x14ac:dyDescent="0.45">
      <c r="D9540" s="47"/>
    </row>
    <row r="9541" spans="4:4" x14ac:dyDescent="0.45">
      <c r="D9541" s="47"/>
    </row>
    <row r="9542" spans="4:4" x14ac:dyDescent="0.45">
      <c r="D9542" s="47"/>
    </row>
    <row r="9543" spans="4:4" x14ac:dyDescent="0.45">
      <c r="D9543" s="47"/>
    </row>
    <row r="9544" spans="4:4" x14ac:dyDescent="0.45">
      <c r="D9544" s="47"/>
    </row>
    <row r="9545" spans="4:4" x14ac:dyDescent="0.45">
      <c r="D9545" s="47"/>
    </row>
    <row r="9546" spans="4:4" x14ac:dyDescent="0.45">
      <c r="D9546" s="47"/>
    </row>
    <row r="9547" spans="4:4" x14ac:dyDescent="0.45">
      <c r="D9547" s="47"/>
    </row>
    <row r="9548" spans="4:4" x14ac:dyDescent="0.45">
      <c r="D9548" s="47"/>
    </row>
    <row r="9549" spans="4:4" x14ac:dyDescent="0.45">
      <c r="D9549" s="47"/>
    </row>
    <row r="9550" spans="4:4" x14ac:dyDescent="0.45">
      <c r="D9550" s="47"/>
    </row>
    <row r="9551" spans="4:4" x14ac:dyDescent="0.45">
      <c r="D9551" s="47"/>
    </row>
    <row r="9552" spans="4:4" x14ac:dyDescent="0.45">
      <c r="D9552" s="47"/>
    </row>
    <row r="9553" spans="4:4" x14ac:dyDescent="0.45">
      <c r="D9553" s="47"/>
    </row>
    <row r="9554" spans="4:4" x14ac:dyDescent="0.45">
      <c r="D9554" s="47"/>
    </row>
    <row r="9555" spans="4:4" x14ac:dyDescent="0.45">
      <c r="D9555" s="47"/>
    </row>
    <row r="9556" spans="4:4" x14ac:dyDescent="0.45">
      <c r="D9556" s="47"/>
    </row>
    <row r="9557" spans="4:4" x14ac:dyDescent="0.45">
      <c r="D9557" s="47"/>
    </row>
    <row r="9558" spans="4:4" x14ac:dyDescent="0.45">
      <c r="D9558" s="47"/>
    </row>
    <row r="9559" spans="4:4" x14ac:dyDescent="0.45">
      <c r="D9559" s="47"/>
    </row>
    <row r="9560" spans="4:4" x14ac:dyDescent="0.45">
      <c r="D9560" s="47"/>
    </row>
    <row r="9561" spans="4:4" x14ac:dyDescent="0.45">
      <c r="D9561" s="47"/>
    </row>
    <row r="9562" spans="4:4" x14ac:dyDescent="0.45">
      <c r="D9562" s="47"/>
    </row>
    <row r="9563" spans="4:4" x14ac:dyDescent="0.45">
      <c r="D9563" s="47"/>
    </row>
    <row r="9564" spans="4:4" x14ac:dyDescent="0.45">
      <c r="D9564" s="47"/>
    </row>
    <row r="9565" spans="4:4" x14ac:dyDescent="0.45">
      <c r="D9565" s="47"/>
    </row>
    <row r="9566" spans="4:4" x14ac:dyDescent="0.45">
      <c r="D9566" s="47"/>
    </row>
    <row r="9567" spans="4:4" x14ac:dyDescent="0.45">
      <c r="D9567" s="47"/>
    </row>
    <row r="9568" spans="4:4" x14ac:dyDescent="0.45">
      <c r="D9568" s="47"/>
    </row>
    <row r="9569" spans="4:4" x14ac:dyDescent="0.45">
      <c r="D9569" s="47"/>
    </row>
    <row r="9570" spans="4:4" x14ac:dyDescent="0.45">
      <c r="D9570" s="47"/>
    </row>
    <row r="9571" spans="4:4" x14ac:dyDescent="0.45">
      <c r="D9571" s="47"/>
    </row>
    <row r="9572" spans="4:4" x14ac:dyDescent="0.45">
      <c r="D9572" s="47"/>
    </row>
    <row r="9573" spans="4:4" x14ac:dyDescent="0.45">
      <c r="D9573" s="47"/>
    </row>
    <row r="9574" spans="4:4" x14ac:dyDescent="0.45">
      <c r="D9574" s="47"/>
    </row>
    <row r="9575" spans="4:4" x14ac:dyDescent="0.45">
      <c r="D9575" s="47"/>
    </row>
    <row r="9576" spans="4:4" x14ac:dyDescent="0.45">
      <c r="D9576" s="47"/>
    </row>
    <row r="9577" spans="4:4" x14ac:dyDescent="0.45">
      <c r="D9577" s="47"/>
    </row>
    <row r="9578" spans="4:4" x14ac:dyDescent="0.45">
      <c r="D9578" s="47"/>
    </row>
    <row r="9579" spans="4:4" x14ac:dyDescent="0.45">
      <c r="D9579" s="47"/>
    </row>
    <row r="9580" spans="4:4" x14ac:dyDescent="0.45">
      <c r="D9580" s="47"/>
    </row>
    <row r="9581" spans="4:4" x14ac:dyDescent="0.45">
      <c r="D9581" s="47"/>
    </row>
    <row r="9582" spans="4:4" x14ac:dyDescent="0.45">
      <c r="D9582" s="47"/>
    </row>
    <row r="9583" spans="4:4" x14ac:dyDescent="0.45">
      <c r="D9583" s="47"/>
    </row>
    <row r="9584" spans="4:4" x14ac:dyDescent="0.45">
      <c r="D9584" s="47"/>
    </row>
    <row r="9585" spans="4:4" x14ac:dyDescent="0.45">
      <c r="D9585" s="47"/>
    </row>
    <row r="9586" spans="4:4" x14ac:dyDescent="0.45">
      <c r="D9586" s="47"/>
    </row>
    <row r="9587" spans="4:4" x14ac:dyDescent="0.45">
      <c r="D9587" s="47"/>
    </row>
    <row r="9588" spans="4:4" x14ac:dyDescent="0.45">
      <c r="D9588" s="47"/>
    </row>
    <row r="9589" spans="4:4" x14ac:dyDescent="0.45">
      <c r="D9589" s="47"/>
    </row>
    <row r="9590" spans="4:4" x14ac:dyDescent="0.45">
      <c r="D9590" s="47"/>
    </row>
    <row r="9591" spans="4:4" x14ac:dyDescent="0.45">
      <c r="D9591" s="47"/>
    </row>
    <row r="9592" spans="4:4" x14ac:dyDescent="0.45">
      <c r="D9592" s="47"/>
    </row>
    <row r="9593" spans="4:4" x14ac:dyDescent="0.45">
      <c r="D9593" s="47"/>
    </row>
    <row r="9594" spans="4:4" x14ac:dyDescent="0.45">
      <c r="D9594" s="47"/>
    </row>
    <row r="9595" spans="4:4" x14ac:dyDescent="0.45">
      <c r="D9595" s="47"/>
    </row>
    <row r="9596" spans="4:4" x14ac:dyDescent="0.45">
      <c r="D9596" s="47"/>
    </row>
    <row r="9597" spans="4:4" x14ac:dyDescent="0.45">
      <c r="D9597" s="47"/>
    </row>
    <row r="9598" spans="4:4" x14ac:dyDescent="0.45">
      <c r="D9598" s="47"/>
    </row>
    <row r="9599" spans="4:4" x14ac:dyDescent="0.45">
      <c r="D9599" s="47"/>
    </row>
    <row r="9600" spans="4:4" x14ac:dyDescent="0.45">
      <c r="D9600" s="47"/>
    </row>
    <row r="9601" spans="4:4" x14ac:dyDescent="0.45">
      <c r="D9601" s="47"/>
    </row>
    <row r="9602" spans="4:4" x14ac:dyDescent="0.45">
      <c r="D9602" s="47"/>
    </row>
    <row r="9603" spans="4:4" x14ac:dyDescent="0.45">
      <c r="D9603" s="47"/>
    </row>
    <row r="9604" spans="4:4" x14ac:dyDescent="0.45">
      <c r="D9604" s="47"/>
    </row>
    <row r="9605" spans="4:4" x14ac:dyDescent="0.45">
      <c r="D9605" s="47"/>
    </row>
    <row r="9606" spans="4:4" x14ac:dyDescent="0.45">
      <c r="D9606" s="47"/>
    </row>
    <row r="9607" spans="4:4" x14ac:dyDescent="0.45">
      <c r="D9607" s="47"/>
    </row>
    <row r="9608" spans="4:4" x14ac:dyDescent="0.45">
      <c r="D9608" s="47"/>
    </row>
    <row r="9609" spans="4:4" x14ac:dyDescent="0.45">
      <c r="D9609" s="47"/>
    </row>
    <row r="9610" spans="4:4" x14ac:dyDescent="0.45">
      <c r="D9610" s="47"/>
    </row>
    <row r="9611" spans="4:4" x14ac:dyDescent="0.45">
      <c r="D9611" s="47"/>
    </row>
    <row r="9612" spans="4:4" x14ac:dyDescent="0.45">
      <c r="D9612" s="47"/>
    </row>
    <row r="9613" spans="4:4" x14ac:dyDescent="0.45">
      <c r="D9613" s="47"/>
    </row>
    <row r="9614" spans="4:4" x14ac:dyDescent="0.45">
      <c r="D9614" s="47"/>
    </row>
    <row r="9615" spans="4:4" x14ac:dyDescent="0.45">
      <c r="D9615" s="47"/>
    </row>
    <row r="9616" spans="4:4" x14ac:dyDescent="0.45">
      <c r="D9616" s="47"/>
    </row>
    <row r="9617" spans="4:4" x14ac:dyDescent="0.45">
      <c r="D9617" s="47"/>
    </row>
    <row r="9618" spans="4:4" x14ac:dyDescent="0.45">
      <c r="D9618" s="47"/>
    </row>
    <row r="9619" spans="4:4" x14ac:dyDescent="0.45">
      <c r="D9619" s="47"/>
    </row>
    <row r="9620" spans="4:4" x14ac:dyDescent="0.45">
      <c r="D9620" s="47"/>
    </row>
    <row r="9621" spans="4:4" x14ac:dyDescent="0.45">
      <c r="D9621" s="47"/>
    </row>
    <row r="9622" spans="4:4" x14ac:dyDescent="0.45">
      <c r="D9622" s="47"/>
    </row>
    <row r="9623" spans="4:4" x14ac:dyDescent="0.45">
      <c r="D9623" s="47"/>
    </row>
    <row r="9624" spans="4:4" x14ac:dyDescent="0.45">
      <c r="D9624" s="47"/>
    </row>
    <row r="9625" spans="4:4" x14ac:dyDescent="0.45">
      <c r="D9625" s="47"/>
    </row>
    <row r="9626" spans="4:4" x14ac:dyDescent="0.45">
      <c r="D9626" s="47"/>
    </row>
    <row r="9627" spans="4:4" x14ac:dyDescent="0.45">
      <c r="D9627" s="47"/>
    </row>
    <row r="9628" spans="4:4" x14ac:dyDescent="0.45">
      <c r="D9628" s="47"/>
    </row>
    <row r="9629" spans="4:4" x14ac:dyDescent="0.45">
      <c r="D9629" s="47"/>
    </row>
    <row r="9630" spans="4:4" x14ac:dyDescent="0.45">
      <c r="D9630" s="47"/>
    </row>
    <row r="9631" spans="4:4" x14ac:dyDescent="0.45">
      <c r="D9631" s="47"/>
    </row>
    <row r="9632" spans="4:4" x14ac:dyDescent="0.45">
      <c r="D9632" s="47"/>
    </row>
    <row r="9633" spans="4:4" x14ac:dyDescent="0.45">
      <c r="D9633" s="47"/>
    </row>
    <row r="9634" spans="4:4" x14ac:dyDescent="0.45">
      <c r="D9634" s="47"/>
    </row>
    <row r="9635" spans="4:4" x14ac:dyDescent="0.45">
      <c r="D9635" s="47"/>
    </row>
    <row r="9636" spans="4:4" x14ac:dyDescent="0.45">
      <c r="D9636" s="47"/>
    </row>
    <row r="9637" spans="4:4" x14ac:dyDescent="0.45">
      <c r="D9637" s="47"/>
    </row>
    <row r="9638" spans="4:4" x14ac:dyDescent="0.45">
      <c r="D9638" s="47"/>
    </row>
    <row r="9639" spans="4:4" x14ac:dyDescent="0.45">
      <c r="D9639" s="47"/>
    </row>
    <row r="9640" spans="4:4" x14ac:dyDescent="0.45">
      <c r="D9640" s="47"/>
    </row>
    <row r="9641" spans="4:4" x14ac:dyDescent="0.45">
      <c r="D9641" s="47"/>
    </row>
    <row r="9642" spans="4:4" x14ac:dyDescent="0.45">
      <c r="D9642" s="47"/>
    </row>
    <row r="9643" spans="4:4" x14ac:dyDescent="0.45">
      <c r="D9643" s="47"/>
    </row>
    <row r="9644" spans="4:4" x14ac:dyDescent="0.45">
      <c r="D9644" s="47"/>
    </row>
    <row r="9645" spans="4:4" x14ac:dyDescent="0.45">
      <c r="D9645" s="47"/>
    </row>
    <row r="9646" spans="4:4" x14ac:dyDescent="0.45">
      <c r="D9646" s="47"/>
    </row>
    <row r="9647" spans="4:4" x14ac:dyDescent="0.45">
      <c r="D9647" s="47"/>
    </row>
    <row r="9648" spans="4:4" x14ac:dyDescent="0.45">
      <c r="D9648" s="47"/>
    </row>
    <row r="9649" spans="4:4" x14ac:dyDescent="0.45">
      <c r="D9649" s="47"/>
    </row>
    <row r="9650" spans="4:4" x14ac:dyDescent="0.45">
      <c r="D9650" s="47"/>
    </row>
    <row r="9651" spans="4:4" x14ac:dyDescent="0.45">
      <c r="D9651" s="47"/>
    </row>
    <row r="9652" spans="4:4" x14ac:dyDescent="0.45">
      <c r="D9652" s="47"/>
    </row>
    <row r="9653" spans="4:4" x14ac:dyDescent="0.45">
      <c r="D9653" s="47"/>
    </row>
    <row r="9654" spans="4:4" x14ac:dyDescent="0.45">
      <c r="D9654" s="47"/>
    </row>
    <row r="9655" spans="4:4" x14ac:dyDescent="0.45">
      <c r="D9655" s="47"/>
    </row>
    <row r="9656" spans="4:4" x14ac:dyDescent="0.45">
      <c r="D9656" s="47"/>
    </row>
    <row r="9657" spans="4:4" x14ac:dyDescent="0.45">
      <c r="D9657" s="47"/>
    </row>
    <row r="9658" spans="4:4" x14ac:dyDescent="0.45">
      <c r="D9658" s="47"/>
    </row>
    <row r="9659" spans="4:4" x14ac:dyDescent="0.45">
      <c r="D9659" s="47"/>
    </row>
    <row r="9660" spans="4:4" x14ac:dyDescent="0.45">
      <c r="D9660" s="47"/>
    </row>
    <row r="9661" spans="4:4" x14ac:dyDescent="0.45">
      <c r="D9661" s="47"/>
    </row>
    <row r="9662" spans="4:4" x14ac:dyDescent="0.45">
      <c r="D9662" s="47"/>
    </row>
    <row r="9663" spans="4:4" x14ac:dyDescent="0.45">
      <c r="D9663" s="47"/>
    </row>
    <row r="9664" spans="4:4" x14ac:dyDescent="0.45">
      <c r="D9664" s="47"/>
    </row>
    <row r="9665" spans="4:4" x14ac:dyDescent="0.45">
      <c r="D9665" s="47"/>
    </row>
    <row r="9666" spans="4:4" x14ac:dyDescent="0.45">
      <c r="D9666" s="47"/>
    </row>
    <row r="9667" spans="4:4" x14ac:dyDescent="0.45">
      <c r="D9667" s="47"/>
    </row>
    <row r="9668" spans="4:4" x14ac:dyDescent="0.45">
      <c r="D9668" s="47"/>
    </row>
    <row r="9669" spans="4:4" x14ac:dyDescent="0.45">
      <c r="D9669" s="47"/>
    </row>
    <row r="9670" spans="4:4" x14ac:dyDescent="0.45">
      <c r="D9670" s="47"/>
    </row>
    <row r="9671" spans="4:4" x14ac:dyDescent="0.45">
      <c r="D9671" s="47"/>
    </row>
    <row r="9672" spans="4:4" x14ac:dyDescent="0.45">
      <c r="D9672" s="47"/>
    </row>
    <row r="9673" spans="4:4" x14ac:dyDescent="0.45">
      <c r="D9673" s="47"/>
    </row>
    <row r="9674" spans="4:4" x14ac:dyDescent="0.45">
      <c r="D9674" s="47"/>
    </row>
    <row r="9675" spans="4:4" x14ac:dyDescent="0.45">
      <c r="D9675" s="47"/>
    </row>
    <row r="9676" spans="4:4" x14ac:dyDescent="0.45">
      <c r="D9676" s="47"/>
    </row>
    <row r="9677" spans="4:4" x14ac:dyDescent="0.45">
      <c r="D9677" s="47"/>
    </row>
    <row r="9678" spans="4:4" x14ac:dyDescent="0.45">
      <c r="D9678" s="47"/>
    </row>
    <row r="9679" spans="4:4" x14ac:dyDescent="0.45">
      <c r="D9679" s="47"/>
    </row>
    <row r="9680" spans="4:4" x14ac:dyDescent="0.45">
      <c r="D9680" s="47"/>
    </row>
    <row r="9681" spans="4:4" x14ac:dyDescent="0.45">
      <c r="D9681" s="47"/>
    </row>
    <row r="9682" spans="4:4" x14ac:dyDescent="0.45">
      <c r="D9682" s="47"/>
    </row>
    <row r="9683" spans="4:4" x14ac:dyDescent="0.45">
      <c r="D9683" s="47"/>
    </row>
    <row r="9684" spans="4:4" x14ac:dyDescent="0.45">
      <c r="D9684" s="47"/>
    </row>
    <row r="9685" spans="4:4" x14ac:dyDescent="0.45">
      <c r="D9685" s="47"/>
    </row>
    <row r="9686" spans="4:4" x14ac:dyDescent="0.45">
      <c r="D9686" s="47"/>
    </row>
    <row r="9687" spans="4:4" x14ac:dyDescent="0.45">
      <c r="D9687" s="47"/>
    </row>
    <row r="9688" spans="4:4" x14ac:dyDescent="0.45">
      <c r="D9688" s="47"/>
    </row>
    <row r="9689" spans="4:4" x14ac:dyDescent="0.45">
      <c r="D9689" s="47"/>
    </row>
    <row r="9690" spans="4:4" x14ac:dyDescent="0.45">
      <c r="D9690" s="47"/>
    </row>
    <row r="9691" spans="4:4" x14ac:dyDescent="0.45">
      <c r="D9691" s="47"/>
    </row>
    <row r="9692" spans="4:4" x14ac:dyDescent="0.45">
      <c r="D9692" s="47"/>
    </row>
    <row r="9693" spans="4:4" x14ac:dyDescent="0.45">
      <c r="D9693" s="47"/>
    </row>
    <row r="9694" spans="4:4" x14ac:dyDescent="0.45">
      <c r="D9694" s="47"/>
    </row>
    <row r="9695" spans="4:4" x14ac:dyDescent="0.45">
      <c r="D9695" s="47"/>
    </row>
    <row r="9696" spans="4:4" x14ac:dyDescent="0.45">
      <c r="D9696" s="47"/>
    </row>
    <row r="9697" spans="4:4" x14ac:dyDescent="0.45">
      <c r="D9697" s="47"/>
    </row>
    <row r="9698" spans="4:4" x14ac:dyDescent="0.45">
      <c r="D9698" s="47"/>
    </row>
    <row r="9699" spans="4:4" x14ac:dyDescent="0.45">
      <c r="D9699" s="47"/>
    </row>
    <row r="9700" spans="4:4" x14ac:dyDescent="0.45">
      <c r="D9700" s="47"/>
    </row>
    <row r="9701" spans="4:4" x14ac:dyDescent="0.45">
      <c r="D9701" s="47"/>
    </row>
    <row r="9702" spans="4:4" x14ac:dyDescent="0.45">
      <c r="D9702" s="47"/>
    </row>
    <row r="9703" spans="4:4" x14ac:dyDescent="0.45">
      <c r="D9703" s="47"/>
    </row>
    <row r="9704" spans="4:4" x14ac:dyDescent="0.45">
      <c r="D9704" s="47"/>
    </row>
    <row r="9705" spans="4:4" x14ac:dyDescent="0.45">
      <c r="D9705" s="47"/>
    </row>
    <row r="9706" spans="4:4" x14ac:dyDescent="0.45">
      <c r="D9706" s="47"/>
    </row>
    <row r="9707" spans="4:4" x14ac:dyDescent="0.45">
      <c r="D9707" s="47"/>
    </row>
    <row r="9708" spans="4:4" x14ac:dyDescent="0.45">
      <c r="D9708" s="47"/>
    </row>
    <row r="9709" spans="4:4" x14ac:dyDescent="0.45">
      <c r="D9709" s="47"/>
    </row>
    <row r="9710" spans="4:4" x14ac:dyDescent="0.45">
      <c r="D9710" s="47"/>
    </row>
    <row r="9711" spans="4:4" x14ac:dyDescent="0.45">
      <c r="D9711" s="47"/>
    </row>
    <row r="9712" spans="4:4" x14ac:dyDescent="0.45">
      <c r="D9712" s="47"/>
    </row>
    <row r="9713" spans="4:4" x14ac:dyDescent="0.45">
      <c r="D9713" s="47"/>
    </row>
    <row r="9714" spans="4:4" x14ac:dyDescent="0.45">
      <c r="D9714" s="47"/>
    </row>
    <row r="9715" spans="4:4" x14ac:dyDescent="0.45">
      <c r="D9715" s="47"/>
    </row>
    <row r="9716" spans="4:4" x14ac:dyDescent="0.45">
      <c r="D9716" s="47"/>
    </row>
    <row r="9717" spans="4:4" x14ac:dyDescent="0.45">
      <c r="D9717" s="47"/>
    </row>
    <row r="9718" spans="4:4" x14ac:dyDescent="0.45">
      <c r="D9718" s="47"/>
    </row>
    <row r="9719" spans="4:4" x14ac:dyDescent="0.45">
      <c r="D9719" s="47"/>
    </row>
    <row r="9720" spans="4:4" x14ac:dyDescent="0.45">
      <c r="D9720" s="47"/>
    </row>
    <row r="9721" spans="4:4" x14ac:dyDescent="0.45">
      <c r="D9721" s="47"/>
    </row>
    <row r="9722" spans="4:4" x14ac:dyDescent="0.45">
      <c r="D9722" s="47"/>
    </row>
    <row r="9723" spans="4:4" x14ac:dyDescent="0.45">
      <c r="D9723" s="47"/>
    </row>
    <row r="9724" spans="4:4" x14ac:dyDescent="0.45">
      <c r="D9724" s="47"/>
    </row>
    <row r="9725" spans="4:4" x14ac:dyDescent="0.45">
      <c r="D9725" s="47"/>
    </row>
    <row r="9726" spans="4:4" x14ac:dyDescent="0.45">
      <c r="D9726" s="47"/>
    </row>
    <row r="9727" spans="4:4" x14ac:dyDescent="0.45">
      <c r="D9727" s="47"/>
    </row>
    <row r="9728" spans="4:4" x14ac:dyDescent="0.45">
      <c r="D9728" s="47"/>
    </row>
    <row r="9729" spans="4:4" x14ac:dyDescent="0.45">
      <c r="D9729" s="47"/>
    </row>
    <row r="9730" spans="4:4" x14ac:dyDescent="0.45">
      <c r="D9730" s="47"/>
    </row>
    <row r="9731" spans="4:4" x14ac:dyDescent="0.45">
      <c r="D9731" s="47"/>
    </row>
    <row r="9732" spans="4:4" x14ac:dyDescent="0.45">
      <c r="D9732" s="47"/>
    </row>
    <row r="9733" spans="4:4" x14ac:dyDescent="0.45">
      <c r="D9733" s="47"/>
    </row>
    <row r="9734" spans="4:4" x14ac:dyDescent="0.45">
      <c r="D9734" s="47"/>
    </row>
    <row r="9735" spans="4:4" x14ac:dyDescent="0.45">
      <c r="D9735" s="47"/>
    </row>
    <row r="9736" spans="4:4" x14ac:dyDescent="0.45">
      <c r="D9736" s="47"/>
    </row>
    <row r="9737" spans="4:4" x14ac:dyDescent="0.45">
      <c r="D9737" s="47"/>
    </row>
    <row r="9738" spans="4:4" x14ac:dyDescent="0.45">
      <c r="D9738" s="47"/>
    </row>
    <row r="9739" spans="4:4" x14ac:dyDescent="0.45">
      <c r="D9739" s="47"/>
    </row>
    <row r="9740" spans="4:4" x14ac:dyDescent="0.45">
      <c r="D9740" s="47"/>
    </row>
    <row r="9741" spans="4:4" x14ac:dyDescent="0.45">
      <c r="D9741" s="47"/>
    </row>
    <row r="9742" spans="4:4" x14ac:dyDescent="0.45">
      <c r="D9742" s="47"/>
    </row>
    <row r="9743" spans="4:4" x14ac:dyDescent="0.45">
      <c r="D9743" s="47"/>
    </row>
    <row r="9744" spans="4:4" x14ac:dyDescent="0.45">
      <c r="D9744" s="47"/>
    </row>
    <row r="9745" spans="4:4" x14ac:dyDescent="0.45">
      <c r="D9745" s="47"/>
    </row>
    <row r="9746" spans="4:4" x14ac:dyDescent="0.45">
      <c r="D9746" s="47"/>
    </row>
    <row r="9747" spans="4:4" x14ac:dyDescent="0.45">
      <c r="D9747" s="47"/>
    </row>
    <row r="9748" spans="4:4" x14ac:dyDescent="0.45">
      <c r="D9748" s="47"/>
    </row>
    <row r="9749" spans="4:4" x14ac:dyDescent="0.45">
      <c r="D9749" s="47"/>
    </row>
    <row r="9750" spans="4:4" x14ac:dyDescent="0.45">
      <c r="D9750" s="47"/>
    </row>
    <row r="9751" spans="4:4" x14ac:dyDescent="0.45">
      <c r="D9751" s="47"/>
    </row>
    <row r="9752" spans="4:4" x14ac:dyDescent="0.45">
      <c r="D9752" s="47"/>
    </row>
    <row r="9753" spans="4:4" x14ac:dyDescent="0.45">
      <c r="D9753" s="47"/>
    </row>
    <row r="9754" spans="4:4" x14ac:dyDescent="0.45">
      <c r="D9754" s="47"/>
    </row>
    <row r="9755" spans="4:4" x14ac:dyDescent="0.45">
      <c r="D9755" s="47"/>
    </row>
    <row r="9756" spans="4:4" x14ac:dyDescent="0.45">
      <c r="D9756" s="47"/>
    </row>
    <row r="9757" spans="4:4" x14ac:dyDescent="0.45">
      <c r="D9757" s="47"/>
    </row>
    <row r="9758" spans="4:4" x14ac:dyDescent="0.45">
      <c r="D9758" s="47"/>
    </row>
    <row r="9759" spans="4:4" x14ac:dyDescent="0.45">
      <c r="D9759" s="47"/>
    </row>
    <row r="9760" spans="4:4" x14ac:dyDescent="0.45">
      <c r="D9760" s="47"/>
    </row>
    <row r="9761" spans="4:4" x14ac:dyDescent="0.45">
      <c r="D9761" s="47"/>
    </row>
    <row r="9762" spans="4:4" x14ac:dyDescent="0.45">
      <c r="D9762" s="47"/>
    </row>
    <row r="9763" spans="4:4" x14ac:dyDescent="0.45">
      <c r="D9763" s="47"/>
    </row>
    <row r="9764" spans="4:4" x14ac:dyDescent="0.45">
      <c r="D9764" s="47"/>
    </row>
    <row r="9765" spans="4:4" x14ac:dyDescent="0.45">
      <c r="D9765" s="47"/>
    </row>
    <row r="9766" spans="4:4" x14ac:dyDescent="0.45">
      <c r="D9766" s="47"/>
    </row>
    <row r="9767" spans="4:4" x14ac:dyDescent="0.45">
      <c r="D9767" s="47"/>
    </row>
    <row r="9768" spans="4:4" x14ac:dyDescent="0.45">
      <c r="D9768" s="47"/>
    </row>
    <row r="9769" spans="4:4" x14ac:dyDescent="0.45">
      <c r="D9769" s="47"/>
    </row>
    <row r="9770" spans="4:4" x14ac:dyDescent="0.45">
      <c r="D9770" s="47"/>
    </row>
    <row r="9771" spans="4:4" x14ac:dyDescent="0.45">
      <c r="D9771" s="47"/>
    </row>
    <row r="9772" spans="4:4" x14ac:dyDescent="0.45">
      <c r="D9772" s="47"/>
    </row>
    <row r="9773" spans="4:4" x14ac:dyDescent="0.45">
      <c r="D9773" s="47"/>
    </row>
    <row r="9774" spans="4:4" x14ac:dyDescent="0.45">
      <c r="D9774" s="47"/>
    </row>
    <row r="9775" spans="4:4" x14ac:dyDescent="0.45">
      <c r="D9775" s="47"/>
    </row>
    <row r="9776" spans="4:4" x14ac:dyDescent="0.45">
      <c r="D9776" s="47"/>
    </row>
    <row r="9777" spans="4:4" x14ac:dyDescent="0.45">
      <c r="D9777" s="47"/>
    </row>
    <row r="9778" spans="4:4" x14ac:dyDescent="0.45">
      <c r="D9778" s="47"/>
    </row>
    <row r="9779" spans="4:4" x14ac:dyDescent="0.45">
      <c r="D9779" s="47"/>
    </row>
    <row r="9780" spans="4:4" x14ac:dyDescent="0.45">
      <c r="D9780" s="47"/>
    </row>
    <row r="9781" spans="4:4" x14ac:dyDescent="0.45">
      <c r="D9781" s="47"/>
    </row>
    <row r="9782" spans="4:4" x14ac:dyDescent="0.45">
      <c r="D9782" s="47"/>
    </row>
    <row r="9783" spans="4:4" x14ac:dyDescent="0.45">
      <c r="D9783" s="47"/>
    </row>
    <row r="9784" spans="4:4" x14ac:dyDescent="0.45">
      <c r="D9784" s="47"/>
    </row>
    <row r="9785" spans="4:4" x14ac:dyDescent="0.45">
      <c r="D9785" s="47"/>
    </row>
    <row r="9786" spans="4:4" x14ac:dyDescent="0.45">
      <c r="D9786" s="47"/>
    </row>
    <row r="9787" spans="4:4" x14ac:dyDescent="0.45">
      <c r="D9787" s="47"/>
    </row>
    <row r="9788" spans="4:4" x14ac:dyDescent="0.45">
      <c r="D9788" s="47"/>
    </row>
    <row r="9789" spans="4:4" x14ac:dyDescent="0.45">
      <c r="D9789" s="47"/>
    </row>
    <row r="9790" spans="4:4" x14ac:dyDescent="0.45">
      <c r="D9790" s="47"/>
    </row>
    <row r="9791" spans="4:4" x14ac:dyDescent="0.45">
      <c r="D9791" s="47"/>
    </row>
    <row r="9792" spans="4:4" x14ac:dyDescent="0.45">
      <c r="D9792" s="47"/>
    </row>
    <row r="9793" spans="4:4" x14ac:dyDescent="0.45">
      <c r="D9793" s="47"/>
    </row>
    <row r="9794" spans="4:4" x14ac:dyDescent="0.45">
      <c r="D9794" s="47"/>
    </row>
    <row r="9795" spans="4:4" x14ac:dyDescent="0.45">
      <c r="D9795" s="47"/>
    </row>
    <row r="9796" spans="4:4" x14ac:dyDescent="0.45">
      <c r="D9796" s="47"/>
    </row>
    <row r="9797" spans="4:4" x14ac:dyDescent="0.45">
      <c r="D9797" s="47"/>
    </row>
    <row r="9798" spans="4:4" x14ac:dyDescent="0.45">
      <c r="D9798" s="47"/>
    </row>
    <row r="9799" spans="4:4" x14ac:dyDescent="0.45">
      <c r="D9799" s="47"/>
    </row>
    <row r="9800" spans="4:4" x14ac:dyDescent="0.45">
      <c r="D9800" s="47"/>
    </row>
    <row r="9801" spans="4:4" x14ac:dyDescent="0.45">
      <c r="D9801" s="47"/>
    </row>
    <row r="9802" spans="4:4" x14ac:dyDescent="0.45">
      <c r="D9802" s="47"/>
    </row>
    <row r="9803" spans="4:4" x14ac:dyDescent="0.45">
      <c r="D9803" s="47"/>
    </row>
    <row r="9804" spans="4:4" x14ac:dyDescent="0.45">
      <c r="D9804" s="47"/>
    </row>
    <row r="9805" spans="4:4" x14ac:dyDescent="0.45">
      <c r="D9805" s="47"/>
    </row>
    <row r="9806" spans="4:4" x14ac:dyDescent="0.45">
      <c r="D9806" s="47"/>
    </row>
    <row r="9807" spans="4:4" x14ac:dyDescent="0.45">
      <c r="D9807" s="47"/>
    </row>
    <row r="9808" spans="4:4" x14ac:dyDescent="0.45">
      <c r="D9808" s="47"/>
    </row>
    <row r="9809" spans="4:4" x14ac:dyDescent="0.45">
      <c r="D9809" s="47"/>
    </row>
    <row r="9810" spans="4:4" x14ac:dyDescent="0.45">
      <c r="D9810" s="47"/>
    </row>
    <row r="9811" spans="4:4" x14ac:dyDescent="0.45">
      <c r="D9811" s="47"/>
    </row>
    <row r="9812" spans="4:4" x14ac:dyDescent="0.45">
      <c r="D9812" s="47"/>
    </row>
    <row r="9813" spans="4:4" x14ac:dyDescent="0.45">
      <c r="D9813" s="47"/>
    </row>
    <row r="9814" spans="4:4" x14ac:dyDescent="0.45">
      <c r="D9814" s="47"/>
    </row>
    <row r="9815" spans="4:4" x14ac:dyDescent="0.45">
      <c r="D9815" s="47"/>
    </row>
    <row r="9816" spans="4:4" x14ac:dyDescent="0.45">
      <c r="D9816" s="47"/>
    </row>
    <row r="9817" spans="4:4" x14ac:dyDescent="0.45">
      <c r="D9817" s="47"/>
    </row>
    <row r="9818" spans="4:4" x14ac:dyDescent="0.45">
      <c r="D9818" s="47"/>
    </row>
    <row r="9819" spans="4:4" x14ac:dyDescent="0.45">
      <c r="D9819" s="47"/>
    </row>
    <row r="9820" spans="4:4" x14ac:dyDescent="0.45">
      <c r="D9820" s="47"/>
    </row>
    <row r="9821" spans="4:4" x14ac:dyDescent="0.45">
      <c r="D9821" s="47"/>
    </row>
    <row r="9822" spans="4:4" x14ac:dyDescent="0.45">
      <c r="D9822" s="47"/>
    </row>
    <row r="9823" spans="4:4" x14ac:dyDescent="0.45">
      <c r="D9823" s="47"/>
    </row>
    <row r="9824" spans="4:4" x14ac:dyDescent="0.45">
      <c r="D9824" s="47"/>
    </row>
    <row r="9825" spans="4:4" x14ac:dyDescent="0.45">
      <c r="D9825" s="47"/>
    </row>
    <row r="9826" spans="4:4" x14ac:dyDescent="0.45">
      <c r="D9826" s="47"/>
    </row>
    <row r="9827" spans="4:4" x14ac:dyDescent="0.45">
      <c r="D9827" s="47"/>
    </row>
    <row r="9828" spans="4:4" x14ac:dyDescent="0.45">
      <c r="D9828" s="47"/>
    </row>
    <row r="9829" spans="4:4" x14ac:dyDescent="0.45">
      <c r="D9829" s="47"/>
    </row>
    <row r="9830" spans="4:4" x14ac:dyDescent="0.45">
      <c r="D9830" s="47"/>
    </row>
    <row r="9831" spans="4:4" x14ac:dyDescent="0.45">
      <c r="D9831" s="47"/>
    </row>
    <row r="9832" spans="4:4" x14ac:dyDescent="0.45">
      <c r="D9832" s="47"/>
    </row>
    <row r="9833" spans="4:4" x14ac:dyDescent="0.45">
      <c r="D9833" s="47"/>
    </row>
    <row r="9834" spans="4:4" x14ac:dyDescent="0.45">
      <c r="D9834" s="47"/>
    </row>
    <row r="9835" spans="4:4" x14ac:dyDescent="0.45">
      <c r="D9835" s="47"/>
    </row>
    <row r="9836" spans="4:4" x14ac:dyDescent="0.45">
      <c r="D9836" s="47"/>
    </row>
    <row r="9837" spans="4:4" x14ac:dyDescent="0.45">
      <c r="D9837" s="47"/>
    </row>
    <row r="9838" spans="4:4" x14ac:dyDescent="0.45">
      <c r="D9838" s="47"/>
    </row>
    <row r="9839" spans="4:4" x14ac:dyDescent="0.45">
      <c r="D9839" s="47"/>
    </row>
    <row r="9840" spans="4:4" x14ac:dyDescent="0.45">
      <c r="D9840" s="47"/>
    </row>
    <row r="9841" spans="4:4" x14ac:dyDescent="0.45">
      <c r="D9841" s="47"/>
    </row>
    <row r="9842" spans="4:4" x14ac:dyDescent="0.45">
      <c r="D9842" s="47"/>
    </row>
    <row r="9843" spans="4:4" x14ac:dyDescent="0.45">
      <c r="D9843" s="47"/>
    </row>
    <row r="9844" spans="4:4" x14ac:dyDescent="0.45">
      <c r="D9844" s="47"/>
    </row>
    <row r="9845" spans="4:4" x14ac:dyDescent="0.45">
      <c r="D9845" s="47"/>
    </row>
    <row r="9846" spans="4:4" x14ac:dyDescent="0.45">
      <c r="D9846" s="47"/>
    </row>
    <row r="9847" spans="4:4" x14ac:dyDescent="0.45">
      <c r="D9847" s="47"/>
    </row>
    <row r="9848" spans="4:4" x14ac:dyDescent="0.45">
      <c r="D9848" s="47"/>
    </row>
    <row r="9849" spans="4:4" x14ac:dyDescent="0.45">
      <c r="D9849" s="47"/>
    </row>
    <row r="9850" spans="4:4" x14ac:dyDescent="0.45">
      <c r="D9850" s="47"/>
    </row>
    <row r="9851" spans="4:4" x14ac:dyDescent="0.45">
      <c r="D9851" s="47"/>
    </row>
    <row r="9852" spans="4:4" x14ac:dyDescent="0.45">
      <c r="D9852" s="47"/>
    </row>
    <row r="9853" spans="4:4" x14ac:dyDescent="0.45">
      <c r="D9853" s="47"/>
    </row>
    <row r="9854" spans="4:4" x14ac:dyDescent="0.45">
      <c r="D9854" s="47"/>
    </row>
    <row r="9855" spans="4:4" x14ac:dyDescent="0.45">
      <c r="D9855" s="47"/>
    </row>
    <row r="9856" spans="4:4" x14ac:dyDescent="0.45">
      <c r="D9856" s="47"/>
    </row>
    <row r="9857" spans="4:4" x14ac:dyDescent="0.45">
      <c r="D9857" s="47"/>
    </row>
    <row r="9858" spans="4:4" x14ac:dyDescent="0.45">
      <c r="D9858" s="47"/>
    </row>
    <row r="9859" spans="4:4" x14ac:dyDescent="0.45">
      <c r="D9859" s="47"/>
    </row>
    <row r="9860" spans="4:4" x14ac:dyDescent="0.45">
      <c r="D9860" s="47"/>
    </row>
    <row r="9861" spans="4:4" x14ac:dyDescent="0.45">
      <c r="D9861" s="47"/>
    </row>
    <row r="9862" spans="4:4" x14ac:dyDescent="0.45">
      <c r="D9862" s="47"/>
    </row>
    <row r="9863" spans="4:4" x14ac:dyDescent="0.45">
      <c r="D9863" s="47"/>
    </row>
    <row r="9864" spans="4:4" x14ac:dyDescent="0.45">
      <c r="D9864" s="47"/>
    </row>
    <row r="9865" spans="4:4" x14ac:dyDescent="0.45">
      <c r="D9865" s="47"/>
    </row>
    <row r="9866" spans="4:4" x14ac:dyDescent="0.45">
      <c r="D9866" s="47"/>
    </row>
    <row r="9867" spans="4:4" x14ac:dyDescent="0.45">
      <c r="D9867" s="47"/>
    </row>
    <row r="9868" spans="4:4" x14ac:dyDescent="0.45">
      <c r="D9868" s="47"/>
    </row>
    <row r="9869" spans="4:4" x14ac:dyDescent="0.45">
      <c r="D9869" s="47"/>
    </row>
    <row r="9870" spans="4:4" x14ac:dyDescent="0.45">
      <c r="D9870" s="47"/>
    </row>
    <row r="9871" spans="4:4" x14ac:dyDescent="0.45">
      <c r="D9871" s="47"/>
    </row>
    <row r="9872" spans="4:4" x14ac:dyDescent="0.45">
      <c r="D9872" s="47"/>
    </row>
    <row r="9873" spans="4:4" x14ac:dyDescent="0.45">
      <c r="D9873" s="47"/>
    </row>
    <row r="9874" spans="4:4" x14ac:dyDescent="0.45">
      <c r="D9874" s="47"/>
    </row>
    <row r="9875" spans="4:4" x14ac:dyDescent="0.45">
      <c r="D9875" s="47"/>
    </row>
    <row r="9876" spans="4:4" x14ac:dyDescent="0.45">
      <c r="D9876" s="47"/>
    </row>
    <row r="9877" spans="4:4" x14ac:dyDescent="0.45">
      <c r="D9877" s="47"/>
    </row>
    <row r="9878" spans="4:4" x14ac:dyDescent="0.45">
      <c r="D9878" s="47"/>
    </row>
    <row r="9879" spans="4:4" x14ac:dyDescent="0.45">
      <c r="D9879" s="47"/>
    </row>
    <row r="9880" spans="4:4" x14ac:dyDescent="0.45">
      <c r="D9880" s="47"/>
    </row>
    <row r="9881" spans="4:4" x14ac:dyDescent="0.45">
      <c r="D9881" s="47"/>
    </row>
    <row r="9882" spans="4:4" x14ac:dyDescent="0.45">
      <c r="D9882" s="47"/>
    </row>
    <row r="9883" spans="4:4" x14ac:dyDescent="0.45">
      <c r="D9883" s="47"/>
    </row>
    <row r="9884" spans="4:4" x14ac:dyDescent="0.45">
      <c r="D9884" s="47"/>
    </row>
    <row r="9885" spans="4:4" x14ac:dyDescent="0.45">
      <c r="D9885" s="47"/>
    </row>
    <row r="9886" spans="4:4" x14ac:dyDescent="0.45">
      <c r="D9886" s="47"/>
    </row>
    <row r="9887" spans="4:4" x14ac:dyDescent="0.45">
      <c r="D9887" s="47"/>
    </row>
    <row r="9888" spans="4:4" x14ac:dyDescent="0.45">
      <c r="D9888" s="47"/>
    </row>
    <row r="9889" spans="4:4" x14ac:dyDescent="0.45">
      <c r="D9889" s="47"/>
    </row>
    <row r="9890" spans="4:4" x14ac:dyDescent="0.45">
      <c r="D9890" s="47"/>
    </row>
    <row r="9891" spans="4:4" x14ac:dyDescent="0.45">
      <c r="D9891" s="47"/>
    </row>
    <row r="9892" spans="4:4" x14ac:dyDescent="0.45">
      <c r="D9892" s="47"/>
    </row>
    <row r="9893" spans="4:4" x14ac:dyDescent="0.45">
      <c r="D9893" s="47"/>
    </row>
    <row r="9894" spans="4:4" x14ac:dyDescent="0.45">
      <c r="D9894" s="47"/>
    </row>
    <row r="9895" spans="4:4" x14ac:dyDescent="0.45">
      <c r="D9895" s="47"/>
    </row>
    <row r="9896" spans="4:4" x14ac:dyDescent="0.45">
      <c r="D9896" s="47"/>
    </row>
    <row r="9897" spans="4:4" x14ac:dyDescent="0.45">
      <c r="D9897" s="47"/>
    </row>
    <row r="9898" spans="4:4" x14ac:dyDescent="0.45">
      <c r="D9898" s="47"/>
    </row>
    <row r="9899" spans="4:4" x14ac:dyDescent="0.45">
      <c r="D9899" s="47"/>
    </row>
    <row r="9900" spans="4:4" x14ac:dyDescent="0.45">
      <c r="D9900" s="47"/>
    </row>
    <row r="9901" spans="4:4" x14ac:dyDescent="0.45">
      <c r="D9901" s="47"/>
    </row>
    <row r="9902" spans="4:4" x14ac:dyDescent="0.45">
      <c r="D9902" s="47"/>
    </row>
    <row r="9903" spans="4:4" x14ac:dyDescent="0.45">
      <c r="D9903" s="47"/>
    </row>
    <row r="9904" spans="4:4" x14ac:dyDescent="0.45">
      <c r="D9904" s="47"/>
    </row>
    <row r="9905" spans="4:4" x14ac:dyDescent="0.45">
      <c r="D9905" s="47"/>
    </row>
    <row r="9906" spans="4:4" x14ac:dyDescent="0.45">
      <c r="D9906" s="47"/>
    </row>
    <row r="9907" spans="4:4" x14ac:dyDescent="0.45">
      <c r="D9907" s="47"/>
    </row>
    <row r="9908" spans="4:4" x14ac:dyDescent="0.45">
      <c r="D9908" s="47"/>
    </row>
    <row r="9909" spans="4:4" x14ac:dyDescent="0.45">
      <c r="D9909" s="47"/>
    </row>
    <row r="9910" spans="4:4" x14ac:dyDescent="0.45">
      <c r="D9910" s="47"/>
    </row>
    <row r="9911" spans="4:4" x14ac:dyDescent="0.45">
      <c r="D9911" s="47"/>
    </row>
    <row r="9912" spans="4:4" x14ac:dyDescent="0.45">
      <c r="D9912" s="47"/>
    </row>
    <row r="9913" spans="4:4" x14ac:dyDescent="0.45">
      <c r="D9913" s="47"/>
    </row>
    <row r="9914" spans="4:4" x14ac:dyDescent="0.45">
      <c r="D9914" s="47"/>
    </row>
    <row r="9915" spans="4:4" x14ac:dyDescent="0.45">
      <c r="D9915" s="47"/>
    </row>
    <row r="9916" spans="4:4" x14ac:dyDescent="0.45">
      <c r="D9916" s="47"/>
    </row>
    <row r="9917" spans="4:4" x14ac:dyDescent="0.45">
      <c r="D9917" s="47"/>
    </row>
    <row r="9918" spans="4:4" x14ac:dyDescent="0.45">
      <c r="D9918" s="47"/>
    </row>
    <row r="9919" spans="4:4" x14ac:dyDescent="0.45">
      <c r="D9919" s="47"/>
    </row>
    <row r="9920" spans="4:4" x14ac:dyDescent="0.45">
      <c r="D9920" s="47"/>
    </row>
    <row r="9921" spans="4:4" x14ac:dyDescent="0.45">
      <c r="D9921" s="47"/>
    </row>
    <row r="9922" spans="4:4" x14ac:dyDescent="0.45">
      <c r="D9922" s="47"/>
    </row>
    <row r="9923" spans="4:4" x14ac:dyDescent="0.45">
      <c r="D9923" s="47"/>
    </row>
    <row r="9924" spans="4:4" x14ac:dyDescent="0.45">
      <c r="D9924" s="47"/>
    </row>
    <row r="9925" spans="4:4" x14ac:dyDescent="0.45">
      <c r="D9925" s="47"/>
    </row>
    <row r="9926" spans="4:4" x14ac:dyDescent="0.45">
      <c r="D9926" s="47"/>
    </row>
    <row r="9927" spans="4:4" x14ac:dyDescent="0.45">
      <c r="D9927" s="47"/>
    </row>
    <row r="9928" spans="4:4" x14ac:dyDescent="0.45">
      <c r="D9928" s="47"/>
    </row>
    <row r="9929" spans="4:4" x14ac:dyDescent="0.45">
      <c r="D9929" s="47"/>
    </row>
    <row r="9930" spans="4:4" x14ac:dyDescent="0.45">
      <c r="D9930" s="47"/>
    </row>
    <row r="9931" spans="4:4" x14ac:dyDescent="0.45">
      <c r="D9931" s="47"/>
    </row>
    <row r="9932" spans="4:4" x14ac:dyDescent="0.45">
      <c r="D9932" s="47"/>
    </row>
    <row r="9933" spans="4:4" x14ac:dyDescent="0.45">
      <c r="D9933" s="47"/>
    </row>
    <row r="9934" spans="4:4" x14ac:dyDescent="0.45">
      <c r="D9934" s="47"/>
    </row>
    <row r="9935" spans="4:4" x14ac:dyDescent="0.45">
      <c r="D9935" s="47"/>
    </row>
    <row r="9936" spans="4:4" x14ac:dyDescent="0.45">
      <c r="D9936" s="47"/>
    </row>
    <row r="9937" spans="4:4" x14ac:dyDescent="0.45">
      <c r="D9937" s="47"/>
    </row>
    <row r="9938" spans="4:4" x14ac:dyDescent="0.45">
      <c r="D9938" s="47"/>
    </row>
    <row r="9939" spans="4:4" x14ac:dyDescent="0.45">
      <c r="D9939" s="47"/>
    </row>
    <row r="9940" spans="4:4" x14ac:dyDescent="0.45">
      <c r="D9940" s="47"/>
    </row>
    <row r="9941" spans="4:4" x14ac:dyDescent="0.45">
      <c r="D9941" s="47"/>
    </row>
    <row r="9942" spans="4:4" x14ac:dyDescent="0.45">
      <c r="D9942" s="47"/>
    </row>
    <row r="9943" spans="4:4" x14ac:dyDescent="0.45">
      <c r="D9943" s="47"/>
    </row>
    <row r="9944" spans="4:4" x14ac:dyDescent="0.45">
      <c r="D9944" s="47"/>
    </row>
    <row r="9945" spans="4:4" x14ac:dyDescent="0.45">
      <c r="D9945" s="47"/>
    </row>
    <row r="9946" spans="4:4" x14ac:dyDescent="0.45">
      <c r="D9946" s="47"/>
    </row>
    <row r="9947" spans="4:4" x14ac:dyDescent="0.45">
      <c r="D9947" s="47"/>
    </row>
    <row r="9948" spans="4:4" x14ac:dyDescent="0.45">
      <c r="D9948" s="47"/>
    </row>
    <row r="9949" spans="4:4" x14ac:dyDescent="0.45">
      <c r="D9949" s="47"/>
    </row>
    <row r="9950" spans="4:4" x14ac:dyDescent="0.45">
      <c r="D9950" s="47"/>
    </row>
    <row r="9951" spans="4:4" x14ac:dyDescent="0.45">
      <c r="D9951" s="47"/>
    </row>
    <row r="9952" spans="4:4" x14ac:dyDescent="0.45">
      <c r="D9952" s="47"/>
    </row>
    <row r="9953" spans="4:4" x14ac:dyDescent="0.45">
      <c r="D9953" s="47"/>
    </row>
    <row r="9954" spans="4:4" x14ac:dyDescent="0.45">
      <c r="D9954" s="47"/>
    </row>
    <row r="9955" spans="4:4" x14ac:dyDescent="0.45">
      <c r="D9955" s="47"/>
    </row>
    <row r="9956" spans="4:4" x14ac:dyDescent="0.45">
      <c r="D9956" s="47"/>
    </row>
    <row r="9957" spans="4:4" x14ac:dyDescent="0.45">
      <c r="D9957" s="47"/>
    </row>
    <row r="9958" spans="4:4" x14ac:dyDescent="0.45">
      <c r="D9958" s="47"/>
    </row>
    <row r="9959" spans="4:4" x14ac:dyDescent="0.45">
      <c r="D9959" s="47"/>
    </row>
    <row r="9960" spans="4:4" x14ac:dyDescent="0.45">
      <c r="D9960" s="47"/>
    </row>
    <row r="9961" spans="4:4" x14ac:dyDescent="0.45">
      <c r="D9961" s="47"/>
    </row>
    <row r="9962" spans="4:4" x14ac:dyDescent="0.45">
      <c r="D9962" s="47"/>
    </row>
    <row r="9963" spans="4:4" x14ac:dyDescent="0.45">
      <c r="D9963" s="47"/>
    </row>
    <row r="9964" spans="4:4" x14ac:dyDescent="0.45">
      <c r="D9964" s="47"/>
    </row>
    <row r="9965" spans="4:4" x14ac:dyDescent="0.45">
      <c r="D9965" s="47"/>
    </row>
    <row r="9966" spans="4:4" x14ac:dyDescent="0.45">
      <c r="D9966" s="47"/>
    </row>
    <row r="9967" spans="4:4" x14ac:dyDescent="0.45">
      <c r="D9967" s="47"/>
    </row>
    <row r="9968" spans="4:4" x14ac:dyDescent="0.45">
      <c r="D9968" s="47"/>
    </row>
    <row r="9969" spans="4:4" x14ac:dyDescent="0.45">
      <c r="D9969" s="47"/>
    </row>
    <row r="9970" spans="4:4" x14ac:dyDescent="0.45">
      <c r="D9970" s="47"/>
    </row>
    <row r="9971" spans="4:4" x14ac:dyDescent="0.45">
      <c r="D9971" s="47"/>
    </row>
    <row r="9972" spans="4:4" x14ac:dyDescent="0.45">
      <c r="D9972" s="47"/>
    </row>
    <row r="9973" spans="4:4" x14ac:dyDescent="0.45">
      <c r="D9973" s="47"/>
    </row>
    <row r="9974" spans="4:4" x14ac:dyDescent="0.45">
      <c r="D9974" s="47"/>
    </row>
    <row r="9975" spans="4:4" x14ac:dyDescent="0.45">
      <c r="D9975" s="47"/>
    </row>
    <row r="9976" spans="4:4" x14ac:dyDescent="0.45">
      <c r="D9976" s="47"/>
    </row>
    <row r="9977" spans="4:4" x14ac:dyDescent="0.45">
      <c r="D9977" s="47"/>
    </row>
    <row r="9978" spans="4:4" x14ac:dyDescent="0.45">
      <c r="D9978" s="47"/>
    </row>
    <row r="9979" spans="4:4" x14ac:dyDescent="0.45">
      <c r="D9979" s="47"/>
    </row>
    <row r="9980" spans="4:4" x14ac:dyDescent="0.45">
      <c r="D9980" s="47"/>
    </row>
    <row r="9981" spans="4:4" x14ac:dyDescent="0.45">
      <c r="D9981" s="47"/>
    </row>
    <row r="9982" spans="4:4" x14ac:dyDescent="0.45">
      <c r="D9982" s="47"/>
    </row>
    <row r="9983" spans="4:4" x14ac:dyDescent="0.45">
      <c r="D9983" s="47"/>
    </row>
    <row r="9984" spans="4:4" x14ac:dyDescent="0.45">
      <c r="D9984" s="47"/>
    </row>
    <row r="9985" spans="4:4" x14ac:dyDescent="0.45">
      <c r="D9985" s="47"/>
    </row>
    <row r="9986" spans="4:4" x14ac:dyDescent="0.45">
      <c r="D9986" s="47"/>
    </row>
    <row r="9987" spans="4:4" x14ac:dyDescent="0.45">
      <c r="D9987" s="47"/>
    </row>
    <row r="9988" spans="4:4" x14ac:dyDescent="0.45">
      <c r="D9988" s="47"/>
    </row>
    <row r="9989" spans="4:4" x14ac:dyDescent="0.45">
      <c r="D9989" s="47"/>
    </row>
    <row r="9990" spans="4:4" x14ac:dyDescent="0.45">
      <c r="D9990" s="47"/>
    </row>
    <row r="9991" spans="4:4" x14ac:dyDescent="0.45">
      <c r="D9991" s="47"/>
    </row>
    <row r="9992" spans="4:4" x14ac:dyDescent="0.45">
      <c r="D9992" s="47"/>
    </row>
    <row r="9993" spans="4:4" x14ac:dyDescent="0.45">
      <c r="D9993" s="47"/>
    </row>
    <row r="9994" spans="4:4" x14ac:dyDescent="0.45">
      <c r="D9994" s="47"/>
    </row>
    <row r="9995" spans="4:4" x14ac:dyDescent="0.45">
      <c r="D9995" s="47"/>
    </row>
    <row r="9996" spans="4:4" x14ac:dyDescent="0.45">
      <c r="D9996" s="47"/>
    </row>
    <row r="9997" spans="4:4" x14ac:dyDescent="0.45">
      <c r="D9997" s="47"/>
    </row>
    <row r="9998" spans="4:4" x14ac:dyDescent="0.45">
      <c r="D9998" s="47"/>
    </row>
    <row r="9999" spans="4:4" x14ac:dyDescent="0.45">
      <c r="D9999" s="47"/>
    </row>
    <row r="10000" spans="4:4" x14ac:dyDescent="0.45">
      <c r="D10000" s="47"/>
    </row>
    <row r="10001" spans="4:4" x14ac:dyDescent="0.45">
      <c r="D10001" s="47"/>
    </row>
    <row r="10002" spans="4:4" x14ac:dyDescent="0.45">
      <c r="D10002" s="47"/>
    </row>
    <row r="10003" spans="4:4" x14ac:dyDescent="0.45">
      <c r="D10003" s="47"/>
    </row>
    <row r="10004" spans="4:4" x14ac:dyDescent="0.45">
      <c r="D10004" s="47"/>
    </row>
    <row r="10005" spans="4:4" x14ac:dyDescent="0.45">
      <c r="D10005" s="47"/>
    </row>
    <row r="10006" spans="4:4" x14ac:dyDescent="0.45">
      <c r="D10006" s="47"/>
    </row>
    <row r="10007" spans="4:4" x14ac:dyDescent="0.45">
      <c r="D10007" s="47"/>
    </row>
    <row r="10008" spans="4:4" x14ac:dyDescent="0.45">
      <c r="D10008" s="47"/>
    </row>
    <row r="10009" spans="4:4" x14ac:dyDescent="0.45">
      <c r="D10009" s="47"/>
    </row>
    <row r="10010" spans="4:4" x14ac:dyDescent="0.45">
      <c r="D10010" s="47"/>
    </row>
    <row r="10011" spans="4:4" x14ac:dyDescent="0.45">
      <c r="D10011" s="47"/>
    </row>
    <row r="10012" spans="4:4" x14ac:dyDescent="0.45">
      <c r="D10012" s="47"/>
    </row>
    <row r="10013" spans="4:4" x14ac:dyDescent="0.45">
      <c r="D10013" s="47"/>
    </row>
    <row r="10014" spans="4:4" x14ac:dyDescent="0.45">
      <c r="D10014" s="47"/>
    </row>
    <row r="10015" spans="4:4" x14ac:dyDescent="0.45">
      <c r="D10015" s="47"/>
    </row>
    <row r="10016" spans="4:4" x14ac:dyDescent="0.45">
      <c r="D10016" s="47"/>
    </row>
    <row r="10017" spans="4:4" x14ac:dyDescent="0.45">
      <c r="D10017" s="47"/>
    </row>
    <row r="10018" spans="4:4" x14ac:dyDescent="0.45">
      <c r="D10018" s="47"/>
    </row>
    <row r="10019" spans="4:4" x14ac:dyDescent="0.45">
      <c r="D10019" s="47"/>
    </row>
    <row r="10020" spans="4:4" x14ac:dyDescent="0.45">
      <c r="D10020" s="47"/>
    </row>
    <row r="10021" spans="4:4" x14ac:dyDescent="0.45">
      <c r="D10021" s="47"/>
    </row>
    <row r="10022" spans="4:4" x14ac:dyDescent="0.45">
      <c r="D10022" s="47"/>
    </row>
    <row r="10023" spans="4:4" x14ac:dyDescent="0.45">
      <c r="D10023" s="47"/>
    </row>
    <row r="10024" spans="4:4" x14ac:dyDescent="0.45">
      <c r="D10024" s="47"/>
    </row>
    <row r="10025" spans="4:4" x14ac:dyDescent="0.45">
      <c r="D10025" s="47"/>
    </row>
    <row r="10026" spans="4:4" x14ac:dyDescent="0.45">
      <c r="D10026" s="47"/>
    </row>
    <row r="10027" spans="4:4" x14ac:dyDescent="0.45">
      <c r="D10027" s="47"/>
    </row>
    <row r="10028" spans="4:4" x14ac:dyDescent="0.45">
      <c r="D10028" s="47"/>
    </row>
    <row r="10029" spans="4:4" x14ac:dyDescent="0.45">
      <c r="D10029" s="47"/>
    </row>
    <row r="10030" spans="4:4" x14ac:dyDescent="0.45">
      <c r="D10030" s="47"/>
    </row>
    <row r="10031" spans="4:4" x14ac:dyDescent="0.45">
      <c r="D10031" s="47"/>
    </row>
    <row r="10032" spans="4:4" x14ac:dyDescent="0.45">
      <c r="D10032" s="47"/>
    </row>
    <row r="10033" spans="4:4" x14ac:dyDescent="0.45">
      <c r="D10033" s="47"/>
    </row>
    <row r="10034" spans="4:4" x14ac:dyDescent="0.45">
      <c r="D10034" s="47"/>
    </row>
    <row r="10035" spans="4:4" x14ac:dyDescent="0.45">
      <c r="D10035" s="47"/>
    </row>
    <row r="10036" spans="4:4" x14ac:dyDescent="0.45">
      <c r="D10036" s="47"/>
    </row>
    <row r="10037" spans="4:4" x14ac:dyDescent="0.45">
      <c r="D10037" s="47"/>
    </row>
    <row r="10038" spans="4:4" x14ac:dyDescent="0.45">
      <c r="D10038" s="47"/>
    </row>
    <row r="10039" spans="4:4" x14ac:dyDescent="0.45">
      <c r="D10039" s="47"/>
    </row>
    <row r="10040" spans="4:4" x14ac:dyDescent="0.45">
      <c r="D10040" s="47"/>
    </row>
    <row r="10041" spans="4:4" x14ac:dyDescent="0.45">
      <c r="D10041" s="47"/>
    </row>
    <row r="10042" spans="4:4" x14ac:dyDescent="0.45">
      <c r="D10042" s="47"/>
    </row>
    <row r="10043" spans="4:4" x14ac:dyDescent="0.45">
      <c r="D10043" s="47"/>
    </row>
    <row r="10044" spans="4:4" x14ac:dyDescent="0.45">
      <c r="D10044" s="47"/>
    </row>
    <row r="10045" spans="4:4" x14ac:dyDescent="0.45">
      <c r="D10045" s="47"/>
    </row>
    <row r="10046" spans="4:4" x14ac:dyDescent="0.45">
      <c r="D10046" s="47"/>
    </row>
    <row r="10047" spans="4:4" x14ac:dyDescent="0.45">
      <c r="D10047" s="47"/>
    </row>
    <row r="10048" spans="4:4" x14ac:dyDescent="0.45">
      <c r="D10048" s="47"/>
    </row>
    <row r="10049" spans="4:4" x14ac:dyDescent="0.45">
      <c r="D10049" s="47"/>
    </row>
    <row r="10050" spans="4:4" x14ac:dyDescent="0.45">
      <c r="D10050" s="47"/>
    </row>
    <row r="10051" spans="4:4" x14ac:dyDescent="0.45">
      <c r="D10051" s="47"/>
    </row>
    <row r="10052" spans="4:4" x14ac:dyDescent="0.45">
      <c r="D10052" s="47"/>
    </row>
    <row r="10053" spans="4:4" x14ac:dyDescent="0.45">
      <c r="D10053" s="47"/>
    </row>
    <row r="10054" spans="4:4" x14ac:dyDescent="0.45">
      <c r="D10054" s="47"/>
    </row>
    <row r="10055" spans="4:4" x14ac:dyDescent="0.45">
      <c r="D10055" s="47"/>
    </row>
    <row r="10056" spans="4:4" x14ac:dyDescent="0.45">
      <c r="D10056" s="47"/>
    </row>
    <row r="10057" spans="4:4" x14ac:dyDescent="0.45">
      <c r="D10057" s="47"/>
    </row>
    <row r="10058" spans="4:4" x14ac:dyDescent="0.45">
      <c r="D10058" s="47"/>
    </row>
    <row r="10059" spans="4:4" x14ac:dyDescent="0.45">
      <c r="D10059" s="47"/>
    </row>
    <row r="10060" spans="4:4" x14ac:dyDescent="0.45">
      <c r="D10060" s="47"/>
    </row>
    <row r="10061" spans="4:4" x14ac:dyDescent="0.45">
      <c r="D10061" s="47"/>
    </row>
    <row r="10062" spans="4:4" x14ac:dyDescent="0.45">
      <c r="D10062" s="47"/>
    </row>
    <row r="10063" spans="4:4" x14ac:dyDescent="0.45">
      <c r="D10063" s="47"/>
    </row>
    <row r="10064" spans="4:4" x14ac:dyDescent="0.45">
      <c r="D10064" s="47"/>
    </row>
    <row r="10065" spans="4:4" x14ac:dyDescent="0.45">
      <c r="D10065" s="47"/>
    </row>
    <row r="10066" spans="4:4" x14ac:dyDescent="0.45">
      <c r="D10066" s="47"/>
    </row>
    <row r="10067" spans="4:4" x14ac:dyDescent="0.45">
      <c r="D10067" s="47"/>
    </row>
    <row r="10068" spans="4:4" x14ac:dyDescent="0.45">
      <c r="D10068" s="47"/>
    </row>
    <row r="10069" spans="4:4" x14ac:dyDescent="0.45">
      <c r="D10069" s="47"/>
    </row>
    <row r="10070" spans="4:4" x14ac:dyDescent="0.45">
      <c r="D10070" s="47"/>
    </row>
    <row r="10071" spans="4:4" x14ac:dyDescent="0.45">
      <c r="D10071" s="47"/>
    </row>
    <row r="10072" spans="4:4" x14ac:dyDescent="0.45">
      <c r="D10072" s="47"/>
    </row>
    <row r="10073" spans="4:4" x14ac:dyDescent="0.45">
      <c r="D10073" s="47"/>
    </row>
    <row r="10074" spans="4:4" x14ac:dyDescent="0.45">
      <c r="D10074" s="47"/>
    </row>
    <row r="10075" spans="4:4" x14ac:dyDescent="0.45">
      <c r="D10075" s="47"/>
    </row>
    <row r="10076" spans="4:4" x14ac:dyDescent="0.45">
      <c r="D10076" s="47"/>
    </row>
    <row r="10077" spans="4:4" x14ac:dyDescent="0.45">
      <c r="D10077" s="47"/>
    </row>
    <row r="10078" spans="4:4" x14ac:dyDescent="0.45">
      <c r="D10078" s="47"/>
    </row>
    <row r="10079" spans="4:4" x14ac:dyDescent="0.45">
      <c r="D10079" s="47"/>
    </row>
    <row r="10080" spans="4:4" x14ac:dyDescent="0.45">
      <c r="D10080" s="47"/>
    </row>
    <row r="10081" spans="4:4" x14ac:dyDescent="0.45">
      <c r="D10081" s="47"/>
    </row>
    <row r="10082" spans="4:4" x14ac:dyDescent="0.45">
      <c r="D10082" s="47"/>
    </row>
    <row r="10083" spans="4:4" x14ac:dyDescent="0.45">
      <c r="D10083" s="47"/>
    </row>
    <row r="10084" spans="4:4" x14ac:dyDescent="0.45">
      <c r="D10084" s="47"/>
    </row>
    <row r="10085" spans="4:4" x14ac:dyDescent="0.45">
      <c r="D10085" s="47"/>
    </row>
    <row r="10086" spans="4:4" x14ac:dyDescent="0.45">
      <c r="D10086" s="47"/>
    </row>
    <row r="10087" spans="4:4" x14ac:dyDescent="0.45">
      <c r="D10087" s="47"/>
    </row>
    <row r="10088" spans="4:4" x14ac:dyDescent="0.45">
      <c r="D10088" s="47"/>
    </row>
    <row r="10089" spans="4:4" x14ac:dyDescent="0.45">
      <c r="D10089" s="47"/>
    </row>
    <row r="10090" spans="4:4" x14ac:dyDescent="0.45">
      <c r="D10090" s="47"/>
    </row>
    <row r="10091" spans="4:4" x14ac:dyDescent="0.45">
      <c r="D10091" s="47"/>
    </row>
    <row r="10092" spans="4:4" x14ac:dyDescent="0.45">
      <c r="D10092" s="47"/>
    </row>
    <row r="10093" spans="4:4" x14ac:dyDescent="0.45">
      <c r="D10093" s="47"/>
    </row>
    <row r="10094" spans="4:4" x14ac:dyDescent="0.45">
      <c r="D10094" s="47"/>
    </row>
    <row r="10095" spans="4:4" x14ac:dyDescent="0.45">
      <c r="D10095" s="47"/>
    </row>
    <row r="10096" spans="4:4" x14ac:dyDescent="0.45">
      <c r="D10096" s="47"/>
    </row>
    <row r="10097" spans="4:4" x14ac:dyDescent="0.45">
      <c r="D10097" s="47"/>
    </row>
    <row r="10098" spans="4:4" x14ac:dyDescent="0.45">
      <c r="D10098" s="47"/>
    </row>
    <row r="10099" spans="4:4" x14ac:dyDescent="0.45">
      <c r="D10099" s="47"/>
    </row>
    <row r="10100" spans="4:4" x14ac:dyDescent="0.45">
      <c r="D10100" s="47"/>
    </row>
    <row r="10101" spans="4:4" x14ac:dyDescent="0.45">
      <c r="D10101" s="47"/>
    </row>
    <row r="10102" spans="4:4" x14ac:dyDescent="0.45">
      <c r="D10102" s="47"/>
    </row>
    <row r="10103" spans="4:4" x14ac:dyDescent="0.45">
      <c r="D10103" s="47"/>
    </row>
    <row r="10104" spans="4:4" x14ac:dyDescent="0.45">
      <c r="D10104" s="47"/>
    </row>
    <row r="10105" spans="4:4" x14ac:dyDescent="0.45">
      <c r="D10105" s="47"/>
    </row>
    <row r="10106" spans="4:4" x14ac:dyDescent="0.45">
      <c r="D10106" s="47"/>
    </row>
    <row r="10107" spans="4:4" x14ac:dyDescent="0.45">
      <c r="D10107" s="47"/>
    </row>
    <row r="10108" spans="4:4" x14ac:dyDescent="0.45">
      <c r="D10108" s="47"/>
    </row>
    <row r="10109" spans="4:4" x14ac:dyDescent="0.45">
      <c r="D10109" s="47"/>
    </row>
    <row r="10110" spans="4:4" x14ac:dyDescent="0.45">
      <c r="D10110" s="47"/>
    </row>
    <row r="10111" spans="4:4" x14ac:dyDescent="0.45">
      <c r="D10111" s="47"/>
    </row>
    <row r="10112" spans="4:4" x14ac:dyDescent="0.45">
      <c r="D10112" s="47"/>
    </row>
    <row r="10113" spans="4:4" x14ac:dyDescent="0.45">
      <c r="D10113" s="47"/>
    </row>
    <row r="10114" spans="4:4" x14ac:dyDescent="0.45">
      <c r="D10114" s="47"/>
    </row>
    <row r="10115" spans="4:4" x14ac:dyDescent="0.45">
      <c r="D10115" s="47"/>
    </row>
    <row r="10116" spans="4:4" x14ac:dyDescent="0.45">
      <c r="D10116" s="47"/>
    </row>
    <row r="10117" spans="4:4" x14ac:dyDescent="0.45">
      <c r="D10117" s="47"/>
    </row>
    <row r="10118" spans="4:4" x14ac:dyDescent="0.45">
      <c r="D10118" s="47"/>
    </row>
    <row r="10119" spans="4:4" x14ac:dyDescent="0.45">
      <c r="D10119" s="47"/>
    </row>
    <row r="10120" spans="4:4" x14ac:dyDescent="0.45">
      <c r="D10120" s="47"/>
    </row>
    <row r="10121" spans="4:4" x14ac:dyDescent="0.45">
      <c r="D10121" s="47"/>
    </row>
    <row r="10122" spans="4:4" x14ac:dyDescent="0.45">
      <c r="D10122" s="47"/>
    </row>
    <row r="10123" spans="4:4" x14ac:dyDescent="0.45">
      <c r="D10123" s="47"/>
    </row>
    <row r="10124" spans="4:4" x14ac:dyDescent="0.45">
      <c r="D10124" s="47"/>
    </row>
    <row r="10125" spans="4:4" x14ac:dyDescent="0.45">
      <c r="D10125" s="47"/>
    </row>
    <row r="10126" spans="4:4" x14ac:dyDescent="0.45">
      <c r="D10126" s="47"/>
    </row>
    <row r="10127" spans="4:4" x14ac:dyDescent="0.45">
      <c r="D10127" s="47"/>
    </row>
    <row r="10128" spans="4:4" x14ac:dyDescent="0.45">
      <c r="D10128" s="47"/>
    </row>
    <row r="10129" spans="4:4" x14ac:dyDescent="0.45">
      <c r="D10129" s="47"/>
    </row>
    <row r="10130" spans="4:4" x14ac:dyDescent="0.45">
      <c r="D10130" s="47"/>
    </row>
    <row r="10131" spans="4:4" x14ac:dyDescent="0.45">
      <c r="D10131" s="47"/>
    </row>
    <row r="10132" spans="4:4" x14ac:dyDescent="0.45">
      <c r="D10132" s="47"/>
    </row>
    <row r="10133" spans="4:4" x14ac:dyDescent="0.45">
      <c r="D10133" s="47"/>
    </row>
    <row r="10134" spans="4:4" x14ac:dyDescent="0.45">
      <c r="D10134" s="47"/>
    </row>
    <row r="10135" spans="4:4" x14ac:dyDescent="0.45">
      <c r="D10135" s="47"/>
    </row>
    <row r="10136" spans="4:4" x14ac:dyDescent="0.45">
      <c r="D10136" s="47"/>
    </row>
    <row r="10137" spans="4:4" x14ac:dyDescent="0.45">
      <c r="D10137" s="47"/>
    </row>
    <row r="10138" spans="4:4" x14ac:dyDescent="0.45">
      <c r="D10138" s="47"/>
    </row>
    <row r="10139" spans="4:4" x14ac:dyDescent="0.45">
      <c r="D10139" s="47"/>
    </row>
    <row r="10140" spans="4:4" x14ac:dyDescent="0.45">
      <c r="D10140" s="47"/>
    </row>
    <row r="10141" spans="4:4" x14ac:dyDescent="0.45">
      <c r="D10141" s="47"/>
    </row>
    <row r="10142" spans="4:4" x14ac:dyDescent="0.45">
      <c r="D10142" s="47"/>
    </row>
    <row r="10143" spans="4:4" x14ac:dyDescent="0.45">
      <c r="D10143" s="47"/>
    </row>
    <row r="10144" spans="4:4" x14ac:dyDescent="0.45">
      <c r="D10144" s="47"/>
    </row>
    <row r="10145" spans="4:4" x14ac:dyDescent="0.45">
      <c r="D10145" s="47"/>
    </row>
    <row r="10146" spans="4:4" x14ac:dyDescent="0.45">
      <c r="D10146" s="47"/>
    </row>
    <row r="10147" spans="4:4" x14ac:dyDescent="0.45">
      <c r="D10147" s="47"/>
    </row>
    <row r="10148" spans="4:4" x14ac:dyDescent="0.45">
      <c r="D10148" s="47"/>
    </row>
    <row r="10149" spans="4:4" x14ac:dyDescent="0.45">
      <c r="D10149" s="47"/>
    </row>
    <row r="10150" spans="4:4" x14ac:dyDescent="0.45">
      <c r="D10150" s="47"/>
    </row>
    <row r="10151" spans="4:4" x14ac:dyDescent="0.45">
      <c r="D10151" s="47"/>
    </row>
    <row r="10152" spans="4:4" x14ac:dyDescent="0.45">
      <c r="D10152" s="47"/>
    </row>
    <row r="10153" spans="4:4" x14ac:dyDescent="0.45">
      <c r="D10153" s="47"/>
    </row>
    <row r="10154" spans="4:4" x14ac:dyDescent="0.45">
      <c r="D10154" s="47"/>
    </row>
    <row r="10155" spans="4:4" x14ac:dyDescent="0.45">
      <c r="D10155" s="47"/>
    </row>
    <row r="10156" spans="4:4" x14ac:dyDescent="0.45">
      <c r="D10156" s="47"/>
    </row>
    <row r="10157" spans="4:4" x14ac:dyDescent="0.45">
      <c r="D10157" s="47"/>
    </row>
    <row r="10158" spans="4:4" x14ac:dyDescent="0.45">
      <c r="D10158" s="47"/>
    </row>
    <row r="10159" spans="4:4" x14ac:dyDescent="0.45">
      <c r="D10159" s="47"/>
    </row>
    <row r="10160" spans="4:4" x14ac:dyDescent="0.45">
      <c r="D10160" s="47"/>
    </row>
    <row r="10161" spans="4:4" x14ac:dyDescent="0.45">
      <c r="D10161" s="47"/>
    </row>
    <row r="10162" spans="4:4" x14ac:dyDescent="0.45">
      <c r="D10162" s="47"/>
    </row>
    <row r="10163" spans="4:4" x14ac:dyDescent="0.45">
      <c r="D10163" s="47"/>
    </row>
    <row r="10164" spans="4:4" x14ac:dyDescent="0.45">
      <c r="D10164" s="47"/>
    </row>
    <row r="10165" spans="4:4" x14ac:dyDescent="0.45">
      <c r="D10165" s="47"/>
    </row>
    <row r="10166" spans="4:4" x14ac:dyDescent="0.45">
      <c r="D10166" s="47"/>
    </row>
    <row r="10167" spans="4:4" x14ac:dyDescent="0.45">
      <c r="D10167" s="47"/>
    </row>
    <row r="10168" spans="4:4" x14ac:dyDescent="0.45">
      <c r="D10168" s="47"/>
    </row>
    <row r="10169" spans="4:4" x14ac:dyDescent="0.45">
      <c r="D10169" s="47"/>
    </row>
    <row r="10170" spans="4:4" x14ac:dyDescent="0.45">
      <c r="D10170" s="47"/>
    </row>
    <row r="10171" spans="4:4" x14ac:dyDescent="0.45">
      <c r="D10171" s="47"/>
    </row>
    <row r="10172" spans="4:4" x14ac:dyDescent="0.45">
      <c r="D10172" s="47"/>
    </row>
    <row r="10173" spans="4:4" x14ac:dyDescent="0.45">
      <c r="D10173" s="47"/>
    </row>
    <row r="10174" spans="4:4" x14ac:dyDescent="0.45">
      <c r="D10174" s="47"/>
    </row>
    <row r="10175" spans="4:4" x14ac:dyDescent="0.45">
      <c r="D10175" s="47"/>
    </row>
    <row r="10176" spans="4:4" x14ac:dyDescent="0.45">
      <c r="D10176" s="47"/>
    </row>
    <row r="10177" spans="4:4" x14ac:dyDescent="0.45">
      <c r="D10177" s="47"/>
    </row>
    <row r="10178" spans="4:4" x14ac:dyDescent="0.45">
      <c r="D10178" s="47"/>
    </row>
    <row r="10179" spans="4:4" x14ac:dyDescent="0.45">
      <c r="D10179" s="47"/>
    </row>
    <row r="10180" spans="4:4" x14ac:dyDescent="0.45">
      <c r="D10180" s="47"/>
    </row>
    <row r="10181" spans="4:4" x14ac:dyDescent="0.45">
      <c r="D10181" s="47"/>
    </row>
    <row r="10182" spans="4:4" x14ac:dyDescent="0.45">
      <c r="D10182" s="47"/>
    </row>
    <row r="10183" spans="4:4" x14ac:dyDescent="0.45">
      <c r="D10183" s="47"/>
    </row>
    <row r="10184" spans="4:4" x14ac:dyDescent="0.45">
      <c r="D10184" s="47"/>
    </row>
    <row r="10185" spans="4:4" x14ac:dyDescent="0.45">
      <c r="D10185" s="47"/>
    </row>
    <row r="10186" spans="4:4" x14ac:dyDescent="0.45">
      <c r="D10186" s="47"/>
    </row>
    <row r="10187" spans="4:4" x14ac:dyDescent="0.45">
      <c r="D10187" s="47"/>
    </row>
    <row r="10188" spans="4:4" x14ac:dyDescent="0.45">
      <c r="D10188" s="47"/>
    </row>
    <row r="10189" spans="4:4" x14ac:dyDescent="0.45">
      <c r="D10189" s="47"/>
    </row>
    <row r="10190" spans="4:4" x14ac:dyDescent="0.45">
      <c r="D10190" s="47"/>
    </row>
    <row r="10191" spans="4:4" x14ac:dyDescent="0.45">
      <c r="D10191" s="47"/>
    </row>
    <row r="10192" spans="4:4" x14ac:dyDescent="0.45">
      <c r="D10192" s="47"/>
    </row>
    <row r="10193" spans="4:4" x14ac:dyDescent="0.45">
      <c r="D10193" s="47"/>
    </row>
    <row r="10194" spans="4:4" x14ac:dyDescent="0.45">
      <c r="D10194" s="47"/>
    </row>
    <row r="10195" spans="4:4" x14ac:dyDescent="0.45">
      <c r="D10195" s="47"/>
    </row>
    <row r="10196" spans="4:4" x14ac:dyDescent="0.45">
      <c r="D10196" s="47"/>
    </row>
    <row r="10197" spans="4:4" x14ac:dyDescent="0.45">
      <c r="D10197" s="47"/>
    </row>
    <row r="10198" spans="4:4" x14ac:dyDescent="0.45">
      <c r="D10198" s="47"/>
    </row>
    <row r="10199" spans="4:4" x14ac:dyDescent="0.45">
      <c r="D10199" s="47"/>
    </row>
    <row r="10200" spans="4:4" x14ac:dyDescent="0.45">
      <c r="D10200" s="47"/>
    </row>
    <row r="10201" spans="4:4" x14ac:dyDescent="0.45">
      <c r="D10201" s="47"/>
    </row>
    <row r="10202" spans="4:4" x14ac:dyDescent="0.45">
      <c r="D10202" s="47"/>
    </row>
    <row r="10203" spans="4:4" x14ac:dyDescent="0.45">
      <c r="D10203" s="47"/>
    </row>
    <row r="10204" spans="4:4" x14ac:dyDescent="0.45">
      <c r="D10204" s="47"/>
    </row>
    <row r="10205" spans="4:4" x14ac:dyDescent="0.45">
      <c r="D10205" s="47"/>
    </row>
    <row r="10206" spans="4:4" x14ac:dyDescent="0.45">
      <c r="D10206" s="47"/>
    </row>
    <row r="10207" spans="4:4" x14ac:dyDescent="0.45">
      <c r="D10207" s="47"/>
    </row>
    <row r="10208" spans="4:4" x14ac:dyDescent="0.45">
      <c r="D10208" s="47"/>
    </row>
    <row r="10209" spans="4:4" x14ac:dyDescent="0.45">
      <c r="D10209" s="47"/>
    </row>
    <row r="10210" spans="4:4" x14ac:dyDescent="0.45">
      <c r="D10210" s="47"/>
    </row>
    <row r="10211" spans="4:4" x14ac:dyDescent="0.45">
      <c r="D10211" s="47"/>
    </row>
    <row r="10212" spans="4:4" x14ac:dyDescent="0.45">
      <c r="D10212" s="47"/>
    </row>
    <row r="10213" spans="4:4" x14ac:dyDescent="0.45">
      <c r="D10213" s="47"/>
    </row>
    <row r="10214" spans="4:4" x14ac:dyDescent="0.45">
      <c r="D10214" s="47"/>
    </row>
    <row r="10215" spans="4:4" x14ac:dyDescent="0.45">
      <c r="D10215" s="47"/>
    </row>
    <row r="10216" spans="4:4" x14ac:dyDescent="0.45">
      <c r="D10216" s="47"/>
    </row>
    <row r="10217" spans="4:4" x14ac:dyDescent="0.45">
      <c r="D10217" s="47"/>
    </row>
    <row r="10218" spans="4:4" x14ac:dyDescent="0.45">
      <c r="D10218" s="47"/>
    </row>
    <row r="10219" spans="4:4" x14ac:dyDescent="0.45">
      <c r="D10219" s="47"/>
    </row>
    <row r="10220" spans="4:4" x14ac:dyDescent="0.45">
      <c r="D10220" s="47"/>
    </row>
    <row r="10221" spans="4:4" x14ac:dyDescent="0.45">
      <c r="D10221" s="47"/>
    </row>
    <row r="10222" spans="4:4" x14ac:dyDescent="0.45">
      <c r="D10222" s="47"/>
    </row>
    <row r="10223" spans="4:4" x14ac:dyDescent="0.45">
      <c r="D10223" s="47"/>
    </row>
    <row r="10224" spans="4:4" x14ac:dyDescent="0.45">
      <c r="D10224" s="47"/>
    </row>
    <row r="10225" spans="4:4" x14ac:dyDescent="0.45">
      <c r="D10225" s="47"/>
    </row>
    <row r="10226" spans="4:4" x14ac:dyDescent="0.45">
      <c r="D10226" s="47"/>
    </row>
    <row r="10227" spans="4:4" x14ac:dyDescent="0.45">
      <c r="D10227" s="47"/>
    </row>
    <row r="10228" spans="4:4" x14ac:dyDescent="0.45">
      <c r="D10228" s="47"/>
    </row>
    <row r="10229" spans="4:4" x14ac:dyDescent="0.45">
      <c r="D10229" s="47"/>
    </row>
    <row r="10230" spans="4:4" x14ac:dyDescent="0.45">
      <c r="D10230" s="47"/>
    </row>
    <row r="10231" spans="4:4" x14ac:dyDescent="0.45">
      <c r="D10231" s="47"/>
    </row>
    <row r="10232" spans="4:4" x14ac:dyDescent="0.45">
      <c r="D10232" s="47"/>
    </row>
    <row r="10233" spans="4:4" x14ac:dyDescent="0.45">
      <c r="D10233" s="47"/>
    </row>
    <row r="10234" spans="4:4" x14ac:dyDescent="0.45">
      <c r="D10234" s="47"/>
    </row>
    <row r="10235" spans="4:4" x14ac:dyDescent="0.45">
      <c r="D10235" s="47"/>
    </row>
    <row r="10236" spans="4:4" x14ac:dyDescent="0.45">
      <c r="D10236" s="47"/>
    </row>
    <row r="10237" spans="4:4" x14ac:dyDescent="0.45">
      <c r="D10237" s="47"/>
    </row>
    <row r="10238" spans="4:4" x14ac:dyDescent="0.45">
      <c r="D10238" s="47"/>
    </row>
    <row r="10239" spans="4:4" x14ac:dyDescent="0.45">
      <c r="D10239" s="47"/>
    </row>
    <row r="10240" spans="4:4" x14ac:dyDescent="0.45">
      <c r="D10240" s="47"/>
    </row>
    <row r="10241" spans="4:4" x14ac:dyDescent="0.45">
      <c r="D10241" s="47"/>
    </row>
    <row r="10242" spans="4:4" x14ac:dyDescent="0.45">
      <c r="D10242" s="47"/>
    </row>
    <row r="10243" spans="4:4" x14ac:dyDescent="0.45">
      <c r="D10243" s="47"/>
    </row>
    <row r="10244" spans="4:4" x14ac:dyDescent="0.45">
      <c r="D10244" s="47"/>
    </row>
    <row r="10245" spans="4:4" x14ac:dyDescent="0.45">
      <c r="D10245" s="47"/>
    </row>
    <row r="10246" spans="4:4" x14ac:dyDescent="0.45">
      <c r="D10246" s="47"/>
    </row>
    <row r="10247" spans="4:4" x14ac:dyDescent="0.45">
      <c r="D10247" s="47"/>
    </row>
    <row r="10248" spans="4:4" x14ac:dyDescent="0.45">
      <c r="D10248" s="47"/>
    </row>
    <row r="10249" spans="4:4" x14ac:dyDescent="0.45">
      <c r="D10249" s="47"/>
    </row>
    <row r="10250" spans="4:4" x14ac:dyDescent="0.45">
      <c r="D10250" s="47"/>
    </row>
    <row r="10251" spans="4:4" x14ac:dyDescent="0.45">
      <c r="D10251" s="47"/>
    </row>
    <row r="10252" spans="4:4" x14ac:dyDescent="0.45">
      <c r="D10252" s="47"/>
    </row>
    <row r="10253" spans="4:4" x14ac:dyDescent="0.45">
      <c r="D10253" s="47"/>
    </row>
    <row r="10254" spans="4:4" x14ac:dyDescent="0.45">
      <c r="D10254" s="47"/>
    </row>
    <row r="10255" spans="4:4" x14ac:dyDescent="0.45">
      <c r="D10255" s="47"/>
    </row>
    <row r="10256" spans="4:4" x14ac:dyDescent="0.45">
      <c r="D10256" s="47"/>
    </row>
    <row r="10257" spans="4:4" x14ac:dyDescent="0.45">
      <c r="D10257" s="47"/>
    </row>
    <row r="10258" spans="4:4" x14ac:dyDescent="0.45">
      <c r="D10258" s="47"/>
    </row>
    <row r="10259" spans="4:4" x14ac:dyDescent="0.45">
      <c r="D10259" s="47"/>
    </row>
    <row r="10260" spans="4:4" x14ac:dyDescent="0.45">
      <c r="D10260" s="47"/>
    </row>
    <row r="10261" spans="4:4" x14ac:dyDescent="0.45">
      <c r="D10261" s="47"/>
    </row>
    <row r="10262" spans="4:4" x14ac:dyDescent="0.45">
      <c r="D10262" s="47"/>
    </row>
    <row r="10263" spans="4:4" x14ac:dyDescent="0.45">
      <c r="D10263" s="47"/>
    </row>
    <row r="10264" spans="4:4" x14ac:dyDescent="0.45">
      <c r="D10264" s="47"/>
    </row>
    <row r="10265" spans="4:4" x14ac:dyDescent="0.45">
      <c r="D10265" s="47"/>
    </row>
    <row r="10266" spans="4:4" x14ac:dyDescent="0.45">
      <c r="D10266" s="47"/>
    </row>
    <row r="10267" spans="4:4" x14ac:dyDescent="0.45">
      <c r="D10267" s="47"/>
    </row>
    <row r="10268" spans="4:4" x14ac:dyDescent="0.45">
      <c r="D10268" s="47"/>
    </row>
    <row r="10269" spans="4:4" x14ac:dyDescent="0.45">
      <c r="D10269" s="47"/>
    </row>
    <row r="10270" spans="4:4" x14ac:dyDescent="0.45">
      <c r="D10270" s="47"/>
    </row>
    <row r="10271" spans="4:4" x14ac:dyDescent="0.45">
      <c r="D10271" s="47"/>
    </row>
    <row r="10272" spans="4:4" x14ac:dyDescent="0.45">
      <c r="D10272" s="47"/>
    </row>
    <row r="10273" spans="4:4" x14ac:dyDescent="0.45">
      <c r="D10273" s="47"/>
    </row>
    <row r="10274" spans="4:4" x14ac:dyDescent="0.45">
      <c r="D10274" s="47"/>
    </row>
    <row r="10275" spans="4:4" x14ac:dyDescent="0.45">
      <c r="D10275" s="47"/>
    </row>
    <row r="10276" spans="4:4" x14ac:dyDescent="0.45">
      <c r="D10276" s="47"/>
    </row>
    <row r="10277" spans="4:4" x14ac:dyDescent="0.45">
      <c r="D10277" s="47"/>
    </row>
    <row r="10278" spans="4:4" x14ac:dyDescent="0.45">
      <c r="D10278" s="47"/>
    </row>
    <row r="10279" spans="4:4" x14ac:dyDescent="0.45">
      <c r="D10279" s="47"/>
    </row>
    <row r="10280" spans="4:4" x14ac:dyDescent="0.45">
      <c r="D10280" s="47"/>
    </row>
    <row r="10281" spans="4:4" x14ac:dyDescent="0.45">
      <c r="D10281" s="47"/>
    </row>
    <row r="10282" spans="4:4" x14ac:dyDescent="0.45">
      <c r="D10282" s="47"/>
    </row>
    <row r="10283" spans="4:4" x14ac:dyDescent="0.45">
      <c r="D10283" s="47"/>
    </row>
    <row r="10284" spans="4:4" x14ac:dyDescent="0.45">
      <c r="D10284" s="47"/>
    </row>
    <row r="10285" spans="4:4" x14ac:dyDescent="0.45">
      <c r="D10285" s="47"/>
    </row>
    <row r="10286" spans="4:4" x14ac:dyDescent="0.45">
      <c r="D10286" s="47"/>
    </row>
    <row r="10287" spans="4:4" x14ac:dyDescent="0.45">
      <c r="D10287" s="47"/>
    </row>
    <row r="10288" spans="4:4" x14ac:dyDescent="0.45">
      <c r="D10288" s="47"/>
    </row>
    <row r="10289" spans="4:4" x14ac:dyDescent="0.45">
      <c r="D10289" s="47"/>
    </row>
    <row r="10290" spans="4:4" x14ac:dyDescent="0.45">
      <c r="D10290" s="47"/>
    </row>
    <row r="10291" spans="4:4" x14ac:dyDescent="0.45">
      <c r="D10291" s="47"/>
    </row>
    <row r="10292" spans="4:4" x14ac:dyDescent="0.45">
      <c r="D10292" s="47"/>
    </row>
    <row r="10293" spans="4:4" x14ac:dyDescent="0.45">
      <c r="D10293" s="47"/>
    </row>
    <row r="10294" spans="4:4" x14ac:dyDescent="0.45">
      <c r="D10294" s="47"/>
    </row>
    <row r="10295" spans="4:4" x14ac:dyDescent="0.45">
      <c r="D10295" s="47"/>
    </row>
    <row r="10296" spans="4:4" x14ac:dyDescent="0.45">
      <c r="D10296" s="47"/>
    </row>
    <row r="10297" spans="4:4" x14ac:dyDescent="0.45">
      <c r="D10297" s="47"/>
    </row>
    <row r="10298" spans="4:4" x14ac:dyDescent="0.45">
      <c r="D10298" s="47"/>
    </row>
    <row r="10299" spans="4:4" x14ac:dyDescent="0.45">
      <c r="D10299" s="47"/>
    </row>
    <row r="10300" spans="4:4" x14ac:dyDescent="0.45">
      <c r="D10300" s="47"/>
    </row>
    <row r="10301" spans="4:4" x14ac:dyDescent="0.45">
      <c r="D10301" s="47"/>
    </row>
    <row r="10302" spans="4:4" x14ac:dyDescent="0.45">
      <c r="D10302" s="47"/>
    </row>
    <row r="10303" spans="4:4" x14ac:dyDescent="0.45">
      <c r="D10303" s="47"/>
    </row>
    <row r="10304" spans="4:4" x14ac:dyDescent="0.45">
      <c r="D10304" s="47"/>
    </row>
    <row r="10305" spans="4:4" x14ac:dyDescent="0.45">
      <c r="D10305" s="47"/>
    </row>
    <row r="10306" spans="4:4" x14ac:dyDescent="0.45">
      <c r="D10306" s="47"/>
    </row>
    <row r="10307" spans="4:4" x14ac:dyDescent="0.45">
      <c r="D10307" s="47"/>
    </row>
    <row r="10308" spans="4:4" x14ac:dyDescent="0.45">
      <c r="D10308" s="47"/>
    </row>
    <row r="10309" spans="4:4" x14ac:dyDescent="0.45">
      <c r="D10309" s="47"/>
    </row>
    <row r="10310" spans="4:4" x14ac:dyDescent="0.45">
      <c r="D10310" s="47"/>
    </row>
    <row r="10311" spans="4:4" x14ac:dyDescent="0.45">
      <c r="D10311" s="47"/>
    </row>
    <row r="10312" spans="4:4" x14ac:dyDescent="0.45">
      <c r="D10312" s="47"/>
    </row>
    <row r="10313" spans="4:4" x14ac:dyDescent="0.45">
      <c r="D10313" s="47"/>
    </row>
    <row r="10314" spans="4:4" x14ac:dyDescent="0.45">
      <c r="D10314" s="47"/>
    </row>
    <row r="10315" spans="4:4" x14ac:dyDescent="0.45">
      <c r="D10315" s="47"/>
    </row>
    <row r="10316" spans="4:4" x14ac:dyDescent="0.45">
      <c r="D10316" s="47"/>
    </row>
    <row r="10317" spans="4:4" x14ac:dyDescent="0.45">
      <c r="D10317" s="47"/>
    </row>
    <row r="10318" spans="4:4" x14ac:dyDescent="0.45">
      <c r="D10318" s="47"/>
    </row>
    <row r="10319" spans="4:4" x14ac:dyDescent="0.45">
      <c r="D10319" s="47"/>
    </row>
    <row r="10320" spans="4:4" x14ac:dyDescent="0.45">
      <c r="D10320" s="47"/>
    </row>
    <row r="10321" spans="4:4" x14ac:dyDescent="0.45">
      <c r="D10321" s="47"/>
    </row>
    <row r="10322" spans="4:4" x14ac:dyDescent="0.45">
      <c r="D10322" s="47"/>
    </row>
    <row r="10323" spans="4:4" x14ac:dyDescent="0.45">
      <c r="D10323" s="47"/>
    </row>
    <row r="10324" spans="4:4" x14ac:dyDescent="0.45">
      <c r="D10324" s="47"/>
    </row>
    <row r="10325" spans="4:4" x14ac:dyDescent="0.45">
      <c r="D10325" s="47"/>
    </row>
    <row r="10326" spans="4:4" x14ac:dyDescent="0.45">
      <c r="D10326" s="47"/>
    </row>
    <row r="10327" spans="4:4" x14ac:dyDescent="0.45">
      <c r="D10327" s="47"/>
    </row>
    <row r="10328" spans="4:4" x14ac:dyDescent="0.45">
      <c r="D10328" s="47"/>
    </row>
    <row r="10329" spans="4:4" x14ac:dyDescent="0.45">
      <c r="D10329" s="47"/>
    </row>
    <row r="10330" spans="4:4" x14ac:dyDescent="0.45">
      <c r="D10330" s="47"/>
    </row>
    <row r="10331" spans="4:4" x14ac:dyDescent="0.45">
      <c r="D10331" s="47"/>
    </row>
    <row r="10332" spans="4:4" x14ac:dyDescent="0.45">
      <c r="D10332" s="47"/>
    </row>
    <row r="10333" spans="4:4" x14ac:dyDescent="0.45">
      <c r="D10333" s="47"/>
    </row>
    <row r="10334" spans="4:4" x14ac:dyDescent="0.45">
      <c r="D10334" s="47"/>
    </row>
    <row r="10335" spans="4:4" x14ac:dyDescent="0.45">
      <c r="D10335" s="47"/>
    </row>
    <row r="10336" spans="4:4" x14ac:dyDescent="0.45">
      <c r="D10336" s="47"/>
    </row>
    <row r="10337" spans="4:4" x14ac:dyDescent="0.45">
      <c r="D10337" s="47"/>
    </row>
    <row r="10338" spans="4:4" x14ac:dyDescent="0.45">
      <c r="D10338" s="47"/>
    </row>
    <row r="10339" spans="4:4" x14ac:dyDescent="0.45">
      <c r="D10339" s="47"/>
    </row>
    <row r="10340" spans="4:4" x14ac:dyDescent="0.45">
      <c r="D10340" s="47"/>
    </row>
    <row r="10341" spans="4:4" x14ac:dyDescent="0.45">
      <c r="D10341" s="47"/>
    </row>
    <row r="10342" spans="4:4" x14ac:dyDescent="0.45">
      <c r="D10342" s="47"/>
    </row>
    <row r="10343" spans="4:4" x14ac:dyDescent="0.45">
      <c r="D10343" s="47"/>
    </row>
    <row r="10344" spans="4:4" x14ac:dyDescent="0.45">
      <c r="D10344" s="47"/>
    </row>
    <row r="10345" spans="4:4" x14ac:dyDescent="0.45">
      <c r="D10345" s="47"/>
    </row>
    <row r="10346" spans="4:4" x14ac:dyDescent="0.45">
      <c r="D10346" s="47"/>
    </row>
    <row r="10347" spans="4:4" x14ac:dyDescent="0.45">
      <c r="D10347" s="47"/>
    </row>
    <row r="10348" spans="4:4" x14ac:dyDescent="0.45">
      <c r="D10348" s="47"/>
    </row>
    <row r="10349" spans="4:4" x14ac:dyDescent="0.45">
      <c r="D10349" s="47"/>
    </row>
    <row r="10350" spans="4:4" x14ac:dyDescent="0.45">
      <c r="D10350" s="47"/>
    </row>
    <row r="10351" spans="4:4" x14ac:dyDescent="0.45">
      <c r="D10351" s="47"/>
    </row>
    <row r="10352" spans="4:4" x14ac:dyDescent="0.45">
      <c r="D10352" s="47"/>
    </row>
    <row r="10353" spans="4:4" x14ac:dyDescent="0.45">
      <c r="D10353" s="47"/>
    </row>
    <row r="10354" spans="4:4" x14ac:dyDescent="0.45">
      <c r="D10354" s="47"/>
    </row>
    <row r="10355" spans="4:4" x14ac:dyDescent="0.45">
      <c r="D10355" s="47"/>
    </row>
    <row r="10356" spans="4:4" x14ac:dyDescent="0.45">
      <c r="D10356" s="47"/>
    </row>
    <row r="10357" spans="4:4" x14ac:dyDescent="0.45">
      <c r="D10357" s="47"/>
    </row>
    <row r="10358" spans="4:4" x14ac:dyDescent="0.45">
      <c r="D10358" s="47"/>
    </row>
    <row r="10359" spans="4:4" x14ac:dyDescent="0.45">
      <c r="D10359" s="47"/>
    </row>
    <row r="10360" spans="4:4" x14ac:dyDescent="0.45">
      <c r="D10360" s="47"/>
    </row>
    <row r="10361" spans="4:4" x14ac:dyDescent="0.45">
      <c r="D10361" s="47"/>
    </row>
    <row r="10362" spans="4:4" x14ac:dyDescent="0.45">
      <c r="D10362" s="47"/>
    </row>
    <row r="10363" spans="4:4" x14ac:dyDescent="0.45">
      <c r="D10363" s="47"/>
    </row>
    <row r="10364" spans="4:4" x14ac:dyDescent="0.45">
      <c r="D10364" s="47"/>
    </row>
    <row r="10365" spans="4:4" x14ac:dyDescent="0.45">
      <c r="D10365" s="47"/>
    </row>
    <row r="10366" spans="4:4" x14ac:dyDescent="0.45">
      <c r="D10366" s="47"/>
    </row>
    <row r="10367" spans="4:4" x14ac:dyDescent="0.45">
      <c r="D10367" s="47"/>
    </row>
    <row r="10368" spans="4:4" x14ac:dyDescent="0.45">
      <c r="D10368" s="47"/>
    </row>
    <row r="10369" spans="4:4" x14ac:dyDescent="0.45">
      <c r="D10369" s="47"/>
    </row>
    <row r="10370" spans="4:4" x14ac:dyDescent="0.45">
      <c r="D10370" s="47"/>
    </row>
    <row r="10371" spans="4:4" x14ac:dyDescent="0.45">
      <c r="D10371" s="47"/>
    </row>
    <row r="10372" spans="4:4" x14ac:dyDescent="0.45">
      <c r="D10372" s="47"/>
    </row>
    <row r="10373" spans="4:4" x14ac:dyDescent="0.45">
      <c r="D10373" s="47"/>
    </row>
    <row r="10374" spans="4:4" x14ac:dyDescent="0.45">
      <c r="D10374" s="47"/>
    </row>
    <row r="10375" spans="4:4" x14ac:dyDescent="0.45">
      <c r="D10375" s="47"/>
    </row>
    <row r="10376" spans="4:4" x14ac:dyDescent="0.45">
      <c r="D10376" s="47"/>
    </row>
    <row r="10377" spans="4:4" x14ac:dyDescent="0.45">
      <c r="D10377" s="47"/>
    </row>
    <row r="10378" spans="4:4" x14ac:dyDescent="0.45">
      <c r="D10378" s="47"/>
    </row>
    <row r="10379" spans="4:4" x14ac:dyDescent="0.45">
      <c r="D10379" s="47"/>
    </row>
    <row r="10380" spans="4:4" x14ac:dyDescent="0.45">
      <c r="D10380" s="47"/>
    </row>
    <row r="10381" spans="4:4" x14ac:dyDescent="0.45">
      <c r="D10381" s="47"/>
    </row>
    <row r="10382" spans="4:4" x14ac:dyDescent="0.45">
      <c r="D10382" s="47"/>
    </row>
    <row r="10383" spans="4:4" x14ac:dyDescent="0.45">
      <c r="D10383" s="47"/>
    </row>
    <row r="10384" spans="4:4" x14ac:dyDescent="0.45">
      <c r="D10384" s="47"/>
    </row>
    <row r="10385" spans="4:4" x14ac:dyDescent="0.45">
      <c r="D10385" s="47"/>
    </row>
    <row r="10386" spans="4:4" x14ac:dyDescent="0.45">
      <c r="D10386" s="47"/>
    </row>
    <row r="10387" spans="4:4" x14ac:dyDescent="0.45">
      <c r="D10387" s="47"/>
    </row>
    <row r="10388" spans="4:4" x14ac:dyDescent="0.45">
      <c r="D10388" s="47"/>
    </row>
    <row r="10389" spans="4:4" x14ac:dyDescent="0.45">
      <c r="D10389" s="47"/>
    </row>
    <row r="10390" spans="4:4" x14ac:dyDescent="0.45">
      <c r="D10390" s="47"/>
    </row>
    <row r="10391" spans="4:4" x14ac:dyDescent="0.45">
      <c r="D10391" s="47"/>
    </row>
    <row r="10392" spans="4:4" x14ac:dyDescent="0.45">
      <c r="D10392" s="47"/>
    </row>
    <row r="10393" spans="4:4" x14ac:dyDescent="0.45">
      <c r="D10393" s="47"/>
    </row>
    <row r="10394" spans="4:4" x14ac:dyDescent="0.45">
      <c r="D10394" s="47"/>
    </row>
    <row r="10395" spans="4:4" x14ac:dyDescent="0.45">
      <c r="D10395" s="47"/>
    </row>
    <row r="10396" spans="4:4" x14ac:dyDescent="0.45">
      <c r="D10396" s="47"/>
    </row>
    <row r="10397" spans="4:4" x14ac:dyDescent="0.45">
      <c r="D10397" s="47"/>
    </row>
    <row r="10398" spans="4:4" x14ac:dyDescent="0.45">
      <c r="D10398" s="47"/>
    </row>
    <row r="10399" spans="4:4" x14ac:dyDescent="0.45">
      <c r="D10399" s="47"/>
    </row>
    <row r="10400" spans="4:4" x14ac:dyDescent="0.45">
      <c r="D10400" s="47"/>
    </row>
    <row r="10401" spans="4:4" x14ac:dyDescent="0.45">
      <c r="D10401" s="47"/>
    </row>
    <row r="10402" spans="4:4" x14ac:dyDescent="0.45">
      <c r="D10402" s="47"/>
    </row>
    <row r="10403" spans="4:4" x14ac:dyDescent="0.45">
      <c r="D10403" s="47"/>
    </row>
    <row r="10404" spans="4:4" x14ac:dyDescent="0.45">
      <c r="D10404" s="47"/>
    </row>
    <row r="10405" spans="4:4" x14ac:dyDescent="0.45">
      <c r="D10405" s="47"/>
    </row>
    <row r="10406" spans="4:4" x14ac:dyDescent="0.45">
      <c r="D10406" s="47"/>
    </row>
    <row r="10407" spans="4:4" x14ac:dyDescent="0.45">
      <c r="D10407" s="47"/>
    </row>
    <row r="10408" spans="4:4" x14ac:dyDescent="0.45">
      <c r="D10408" s="47"/>
    </row>
    <row r="10409" spans="4:4" x14ac:dyDescent="0.45">
      <c r="D10409" s="47"/>
    </row>
    <row r="10410" spans="4:4" x14ac:dyDescent="0.45">
      <c r="D10410" s="47"/>
    </row>
    <row r="10411" spans="4:4" x14ac:dyDescent="0.45">
      <c r="D10411" s="47"/>
    </row>
    <row r="10412" spans="4:4" x14ac:dyDescent="0.45">
      <c r="D10412" s="47"/>
    </row>
    <row r="10413" spans="4:4" x14ac:dyDescent="0.45">
      <c r="D10413" s="47"/>
    </row>
    <row r="10414" spans="4:4" x14ac:dyDescent="0.45">
      <c r="D10414" s="47"/>
    </row>
    <row r="10415" spans="4:4" x14ac:dyDescent="0.45">
      <c r="D10415" s="47"/>
    </row>
    <row r="10416" spans="4:4" x14ac:dyDescent="0.45">
      <c r="D10416" s="47"/>
    </row>
    <row r="10417" spans="4:4" x14ac:dyDescent="0.45">
      <c r="D10417" s="47"/>
    </row>
    <row r="10418" spans="4:4" x14ac:dyDescent="0.45">
      <c r="D10418" s="47"/>
    </row>
    <row r="10419" spans="4:4" x14ac:dyDescent="0.45">
      <c r="D10419" s="47"/>
    </row>
    <row r="10420" spans="4:4" x14ac:dyDescent="0.45">
      <c r="D10420" s="47"/>
    </row>
    <row r="10421" spans="4:4" x14ac:dyDescent="0.45">
      <c r="D10421" s="47"/>
    </row>
    <row r="10422" spans="4:4" x14ac:dyDescent="0.45">
      <c r="D10422" s="47"/>
    </row>
    <row r="10423" spans="4:4" x14ac:dyDescent="0.45">
      <c r="D10423" s="47"/>
    </row>
    <row r="10424" spans="4:4" x14ac:dyDescent="0.45">
      <c r="D10424" s="47"/>
    </row>
    <row r="10425" spans="4:4" x14ac:dyDescent="0.45">
      <c r="D10425" s="47"/>
    </row>
    <row r="10426" spans="4:4" x14ac:dyDescent="0.45">
      <c r="D10426" s="47"/>
    </row>
    <row r="10427" spans="4:4" x14ac:dyDescent="0.45">
      <c r="D10427" s="47"/>
    </row>
    <row r="10428" spans="4:4" x14ac:dyDescent="0.45">
      <c r="D10428" s="47"/>
    </row>
    <row r="10429" spans="4:4" x14ac:dyDescent="0.45">
      <c r="D10429" s="47"/>
    </row>
    <row r="10430" spans="4:4" x14ac:dyDescent="0.45">
      <c r="D10430" s="47"/>
    </row>
    <row r="10431" spans="4:4" x14ac:dyDescent="0.45">
      <c r="D10431" s="47"/>
    </row>
    <row r="10432" spans="4:4" x14ac:dyDescent="0.45">
      <c r="D10432" s="47"/>
    </row>
    <row r="10433" spans="4:4" x14ac:dyDescent="0.45">
      <c r="D10433" s="47"/>
    </row>
    <row r="10434" spans="4:4" x14ac:dyDescent="0.45">
      <c r="D10434" s="47"/>
    </row>
    <row r="10435" spans="4:4" x14ac:dyDescent="0.45">
      <c r="D10435" s="47"/>
    </row>
    <row r="10436" spans="4:4" x14ac:dyDescent="0.45">
      <c r="D10436" s="47"/>
    </row>
    <row r="10437" spans="4:4" x14ac:dyDescent="0.45">
      <c r="D10437" s="47"/>
    </row>
    <row r="10438" spans="4:4" x14ac:dyDescent="0.45">
      <c r="D10438" s="47"/>
    </row>
    <row r="10439" spans="4:4" x14ac:dyDescent="0.45">
      <c r="D10439" s="47"/>
    </row>
    <row r="10440" spans="4:4" x14ac:dyDescent="0.45">
      <c r="D10440" s="47"/>
    </row>
    <row r="10441" spans="4:4" x14ac:dyDescent="0.45">
      <c r="D10441" s="47"/>
    </row>
    <row r="10442" spans="4:4" x14ac:dyDescent="0.45">
      <c r="D10442" s="47"/>
    </row>
    <row r="10443" spans="4:4" x14ac:dyDescent="0.45">
      <c r="D10443" s="47"/>
    </row>
    <row r="10444" spans="4:4" x14ac:dyDescent="0.45">
      <c r="D10444" s="47"/>
    </row>
    <row r="10445" spans="4:4" x14ac:dyDescent="0.45">
      <c r="D10445" s="47"/>
    </row>
    <row r="10446" spans="4:4" x14ac:dyDescent="0.45">
      <c r="D10446" s="47"/>
    </row>
    <row r="10447" spans="4:4" x14ac:dyDescent="0.45">
      <c r="D10447" s="47"/>
    </row>
    <row r="10448" spans="4:4" x14ac:dyDescent="0.45">
      <c r="D10448" s="47"/>
    </row>
    <row r="10449" spans="4:4" x14ac:dyDescent="0.45">
      <c r="D10449" s="47"/>
    </row>
    <row r="10450" spans="4:4" x14ac:dyDescent="0.45">
      <c r="D10450" s="47"/>
    </row>
    <row r="10451" spans="4:4" x14ac:dyDescent="0.45">
      <c r="D10451" s="47"/>
    </row>
    <row r="10452" spans="4:4" x14ac:dyDescent="0.45">
      <c r="D10452" s="47"/>
    </row>
    <row r="10453" spans="4:4" x14ac:dyDescent="0.45">
      <c r="D10453" s="47"/>
    </row>
    <row r="10454" spans="4:4" x14ac:dyDescent="0.45">
      <c r="D10454" s="47"/>
    </row>
    <row r="10455" spans="4:4" x14ac:dyDescent="0.45">
      <c r="D10455" s="47"/>
    </row>
    <row r="10456" spans="4:4" x14ac:dyDescent="0.45">
      <c r="D10456" s="47"/>
    </row>
    <row r="10457" spans="4:4" x14ac:dyDescent="0.45">
      <c r="D10457" s="47"/>
    </row>
    <row r="10458" spans="4:4" x14ac:dyDescent="0.45">
      <c r="D10458" s="47"/>
    </row>
    <row r="10459" spans="4:4" x14ac:dyDescent="0.45">
      <c r="D10459" s="47"/>
    </row>
    <row r="10460" spans="4:4" x14ac:dyDescent="0.45">
      <c r="D10460" s="47"/>
    </row>
    <row r="10461" spans="4:4" x14ac:dyDescent="0.45">
      <c r="D10461" s="47"/>
    </row>
    <row r="10462" spans="4:4" x14ac:dyDescent="0.45">
      <c r="D10462" s="47"/>
    </row>
    <row r="10463" spans="4:4" x14ac:dyDescent="0.45">
      <c r="D10463" s="47"/>
    </row>
    <row r="10464" spans="4:4" x14ac:dyDescent="0.45">
      <c r="D10464" s="47"/>
    </row>
    <row r="10465" spans="4:4" x14ac:dyDescent="0.45">
      <c r="D10465" s="47"/>
    </row>
    <row r="10466" spans="4:4" x14ac:dyDescent="0.45">
      <c r="D10466" s="47"/>
    </row>
    <row r="10467" spans="4:4" x14ac:dyDescent="0.45">
      <c r="D10467" s="47"/>
    </row>
    <row r="10468" spans="4:4" x14ac:dyDescent="0.45">
      <c r="D10468" s="47"/>
    </row>
    <row r="10469" spans="4:4" x14ac:dyDescent="0.45">
      <c r="D10469" s="47"/>
    </row>
    <row r="10470" spans="4:4" x14ac:dyDescent="0.45">
      <c r="D10470" s="47"/>
    </row>
    <row r="10471" spans="4:4" x14ac:dyDescent="0.45">
      <c r="D10471" s="47"/>
    </row>
    <row r="10472" spans="4:4" x14ac:dyDescent="0.45">
      <c r="D10472" s="47"/>
    </row>
    <row r="10473" spans="4:4" x14ac:dyDescent="0.45">
      <c r="D10473" s="47"/>
    </row>
    <row r="10474" spans="4:4" x14ac:dyDescent="0.45">
      <c r="D10474" s="47"/>
    </row>
    <row r="10475" spans="4:4" x14ac:dyDescent="0.45">
      <c r="D10475" s="47"/>
    </row>
    <row r="10476" spans="4:4" x14ac:dyDescent="0.45">
      <c r="D10476" s="47"/>
    </row>
    <row r="10477" spans="4:4" x14ac:dyDescent="0.45">
      <c r="D10477" s="47"/>
    </row>
    <row r="10478" spans="4:4" x14ac:dyDescent="0.45">
      <c r="D10478" s="47"/>
    </row>
    <row r="10479" spans="4:4" x14ac:dyDescent="0.45">
      <c r="D10479" s="47"/>
    </row>
    <row r="10480" spans="4:4" x14ac:dyDescent="0.45">
      <c r="D10480" s="47"/>
    </row>
    <row r="10481" spans="4:4" x14ac:dyDescent="0.45">
      <c r="D10481" s="47"/>
    </row>
    <row r="10482" spans="4:4" x14ac:dyDescent="0.45">
      <c r="D10482" s="47"/>
    </row>
    <row r="10483" spans="4:4" x14ac:dyDescent="0.45">
      <c r="D10483" s="47"/>
    </row>
    <row r="10484" spans="4:4" x14ac:dyDescent="0.45">
      <c r="D10484" s="47"/>
    </row>
    <row r="10485" spans="4:4" x14ac:dyDescent="0.45">
      <c r="D10485" s="47"/>
    </row>
    <row r="10486" spans="4:4" x14ac:dyDescent="0.45">
      <c r="D10486" s="47"/>
    </row>
    <row r="10487" spans="4:4" x14ac:dyDescent="0.45">
      <c r="D10487" s="47"/>
    </row>
    <row r="10488" spans="4:4" x14ac:dyDescent="0.45">
      <c r="D10488" s="47"/>
    </row>
    <row r="10489" spans="4:4" x14ac:dyDescent="0.45">
      <c r="D10489" s="47"/>
    </row>
    <row r="10490" spans="4:4" x14ac:dyDescent="0.45">
      <c r="D10490" s="47"/>
    </row>
    <row r="10491" spans="4:4" x14ac:dyDescent="0.45">
      <c r="D10491" s="47"/>
    </row>
    <row r="10492" spans="4:4" x14ac:dyDescent="0.45">
      <c r="D10492" s="47"/>
    </row>
    <row r="10493" spans="4:4" x14ac:dyDescent="0.45">
      <c r="D10493" s="47"/>
    </row>
    <row r="10494" spans="4:4" x14ac:dyDescent="0.45">
      <c r="D10494" s="47"/>
    </row>
    <row r="10495" spans="4:4" x14ac:dyDescent="0.45">
      <c r="D10495" s="47"/>
    </row>
    <row r="10496" spans="4:4" x14ac:dyDescent="0.45">
      <c r="D10496" s="47"/>
    </row>
    <row r="10497" spans="4:4" x14ac:dyDescent="0.45">
      <c r="D10497" s="47"/>
    </row>
    <row r="10498" spans="4:4" x14ac:dyDescent="0.45">
      <c r="D10498" s="47"/>
    </row>
    <row r="10499" spans="4:4" x14ac:dyDescent="0.45">
      <c r="D10499" s="47"/>
    </row>
    <row r="10500" spans="4:4" x14ac:dyDescent="0.45">
      <c r="D10500" s="47"/>
    </row>
    <row r="10501" spans="4:4" x14ac:dyDescent="0.45">
      <c r="D10501" s="47"/>
    </row>
    <row r="10502" spans="4:4" x14ac:dyDescent="0.45">
      <c r="D10502" s="47"/>
    </row>
    <row r="10503" spans="4:4" x14ac:dyDescent="0.45">
      <c r="D10503" s="47"/>
    </row>
    <row r="10504" spans="4:4" x14ac:dyDescent="0.45">
      <c r="D10504" s="47"/>
    </row>
    <row r="10505" spans="4:4" x14ac:dyDescent="0.45">
      <c r="D10505" s="47"/>
    </row>
    <row r="10506" spans="4:4" x14ac:dyDescent="0.45">
      <c r="D10506" s="47"/>
    </row>
    <row r="10507" spans="4:4" x14ac:dyDescent="0.45">
      <c r="D10507" s="47"/>
    </row>
    <row r="10508" spans="4:4" x14ac:dyDescent="0.45">
      <c r="D10508" s="47"/>
    </row>
    <row r="10509" spans="4:4" x14ac:dyDescent="0.45">
      <c r="D10509" s="47"/>
    </row>
    <row r="10510" spans="4:4" x14ac:dyDescent="0.45">
      <c r="D10510" s="47"/>
    </row>
    <row r="10511" spans="4:4" x14ac:dyDescent="0.45">
      <c r="D10511" s="47"/>
    </row>
    <row r="10512" spans="4:4" x14ac:dyDescent="0.45">
      <c r="D10512" s="47"/>
    </row>
    <row r="10513" spans="4:4" x14ac:dyDescent="0.45">
      <c r="D10513" s="47"/>
    </row>
    <row r="10514" spans="4:4" x14ac:dyDescent="0.45">
      <c r="D10514" s="47"/>
    </row>
    <row r="10515" spans="4:4" x14ac:dyDescent="0.45">
      <c r="D10515" s="47"/>
    </row>
    <row r="10516" spans="4:4" x14ac:dyDescent="0.45">
      <c r="D10516" s="47"/>
    </row>
    <row r="10517" spans="4:4" x14ac:dyDescent="0.45">
      <c r="D10517" s="47"/>
    </row>
    <row r="10518" spans="4:4" x14ac:dyDescent="0.45">
      <c r="D10518" s="47"/>
    </row>
    <row r="10519" spans="4:4" x14ac:dyDescent="0.45">
      <c r="D10519" s="47"/>
    </row>
    <row r="10520" spans="4:4" x14ac:dyDescent="0.45">
      <c r="D10520" s="47"/>
    </row>
    <row r="10521" spans="4:4" x14ac:dyDescent="0.45">
      <c r="D10521" s="47"/>
    </row>
    <row r="10522" spans="4:4" x14ac:dyDescent="0.45">
      <c r="D10522" s="47"/>
    </row>
    <row r="10523" spans="4:4" x14ac:dyDescent="0.45">
      <c r="D10523" s="47"/>
    </row>
    <row r="10524" spans="4:4" x14ac:dyDescent="0.45">
      <c r="D10524" s="47"/>
    </row>
    <row r="10525" spans="4:4" x14ac:dyDescent="0.45">
      <c r="D10525" s="47"/>
    </row>
    <row r="10526" spans="4:4" x14ac:dyDescent="0.45">
      <c r="D10526" s="47"/>
    </row>
    <row r="10527" spans="4:4" x14ac:dyDescent="0.45">
      <c r="D10527" s="47"/>
    </row>
    <row r="10528" spans="4:4" x14ac:dyDescent="0.45">
      <c r="D10528" s="47"/>
    </row>
    <row r="10529" spans="4:4" x14ac:dyDescent="0.45">
      <c r="D10529" s="47"/>
    </row>
    <row r="10530" spans="4:4" x14ac:dyDescent="0.45">
      <c r="D10530" s="47"/>
    </row>
    <row r="10531" spans="4:4" x14ac:dyDescent="0.45">
      <c r="D10531" s="47"/>
    </row>
    <row r="10532" spans="4:4" x14ac:dyDescent="0.45">
      <c r="D10532" s="47"/>
    </row>
    <row r="10533" spans="4:4" x14ac:dyDescent="0.45">
      <c r="D10533" s="47"/>
    </row>
    <row r="10534" spans="4:4" x14ac:dyDescent="0.45">
      <c r="D10534" s="47"/>
    </row>
    <row r="10535" spans="4:4" x14ac:dyDescent="0.45">
      <c r="D10535" s="47"/>
    </row>
    <row r="10536" spans="4:4" x14ac:dyDescent="0.45">
      <c r="D10536" s="47"/>
    </row>
    <row r="10537" spans="4:4" x14ac:dyDescent="0.45">
      <c r="D10537" s="47"/>
    </row>
    <row r="10538" spans="4:4" x14ac:dyDescent="0.45">
      <c r="D10538" s="47"/>
    </row>
    <row r="10539" spans="4:4" x14ac:dyDescent="0.45">
      <c r="D10539" s="47"/>
    </row>
    <row r="10540" spans="4:4" x14ac:dyDescent="0.45">
      <c r="D10540" s="47"/>
    </row>
    <row r="10541" spans="4:4" x14ac:dyDescent="0.45">
      <c r="D10541" s="47"/>
    </row>
    <row r="10542" spans="4:4" x14ac:dyDescent="0.45">
      <c r="D10542" s="47"/>
    </row>
    <row r="10543" spans="4:4" x14ac:dyDescent="0.45">
      <c r="D10543" s="47"/>
    </row>
    <row r="10544" spans="4:4" x14ac:dyDescent="0.45">
      <c r="D10544" s="47"/>
    </row>
    <row r="10545" spans="4:4" x14ac:dyDescent="0.45">
      <c r="D10545" s="47"/>
    </row>
    <row r="10546" spans="4:4" x14ac:dyDescent="0.45">
      <c r="D10546" s="47"/>
    </row>
    <row r="10547" spans="4:4" x14ac:dyDescent="0.45">
      <c r="D10547" s="47"/>
    </row>
    <row r="10548" spans="4:4" x14ac:dyDescent="0.45">
      <c r="D10548" s="47"/>
    </row>
    <row r="10549" spans="4:4" x14ac:dyDescent="0.45">
      <c r="D10549" s="47"/>
    </row>
    <row r="10550" spans="4:4" x14ac:dyDescent="0.45">
      <c r="D10550" s="47"/>
    </row>
    <row r="10551" spans="4:4" x14ac:dyDescent="0.45">
      <c r="D10551" s="47"/>
    </row>
    <row r="10552" spans="4:4" x14ac:dyDescent="0.45">
      <c r="D10552" s="47"/>
    </row>
    <row r="10553" spans="4:4" x14ac:dyDescent="0.45">
      <c r="D10553" s="47"/>
    </row>
    <row r="10554" spans="4:4" x14ac:dyDescent="0.45">
      <c r="D10554" s="47"/>
    </row>
    <row r="10555" spans="4:4" x14ac:dyDescent="0.45">
      <c r="D10555" s="47"/>
    </row>
    <row r="10556" spans="4:4" x14ac:dyDescent="0.45">
      <c r="D10556" s="47"/>
    </row>
    <row r="10557" spans="4:4" x14ac:dyDescent="0.45">
      <c r="D10557" s="47"/>
    </row>
    <row r="10558" spans="4:4" x14ac:dyDescent="0.45">
      <c r="D10558" s="47"/>
    </row>
    <row r="10559" spans="4:4" x14ac:dyDescent="0.45">
      <c r="D10559" s="47"/>
    </row>
    <row r="10560" spans="4:4" x14ac:dyDescent="0.45">
      <c r="D10560" s="47"/>
    </row>
    <row r="10561" spans="4:4" x14ac:dyDescent="0.45">
      <c r="D10561" s="47"/>
    </row>
    <row r="10562" spans="4:4" x14ac:dyDescent="0.45">
      <c r="D10562" s="47"/>
    </row>
    <row r="10563" spans="4:4" x14ac:dyDescent="0.45">
      <c r="D10563" s="47"/>
    </row>
    <row r="10564" spans="4:4" x14ac:dyDescent="0.45">
      <c r="D10564" s="47"/>
    </row>
    <row r="10565" spans="4:4" x14ac:dyDescent="0.45">
      <c r="D10565" s="47"/>
    </row>
    <row r="10566" spans="4:4" x14ac:dyDescent="0.45">
      <c r="D10566" s="47"/>
    </row>
    <row r="10567" spans="4:4" x14ac:dyDescent="0.45">
      <c r="D10567" s="47"/>
    </row>
    <row r="10568" spans="4:4" x14ac:dyDescent="0.45">
      <c r="D10568" s="47"/>
    </row>
    <row r="10569" spans="4:4" x14ac:dyDescent="0.45">
      <c r="D10569" s="47"/>
    </row>
    <row r="10570" spans="4:4" x14ac:dyDescent="0.45">
      <c r="D10570" s="47"/>
    </row>
    <row r="10571" spans="4:4" x14ac:dyDescent="0.45">
      <c r="D10571" s="47"/>
    </row>
    <row r="10572" spans="4:4" x14ac:dyDescent="0.45">
      <c r="D10572" s="47"/>
    </row>
    <row r="10573" spans="4:4" x14ac:dyDescent="0.45">
      <c r="D10573" s="47"/>
    </row>
    <row r="10574" spans="4:4" x14ac:dyDescent="0.45">
      <c r="D10574" s="47"/>
    </row>
    <row r="10575" spans="4:4" x14ac:dyDescent="0.45">
      <c r="D10575" s="47"/>
    </row>
    <row r="10576" spans="4:4" x14ac:dyDescent="0.45">
      <c r="D10576" s="47"/>
    </row>
    <row r="10577" spans="4:4" x14ac:dyDescent="0.45">
      <c r="D10577" s="47"/>
    </row>
    <row r="10578" spans="4:4" x14ac:dyDescent="0.45">
      <c r="D10578" s="47"/>
    </row>
    <row r="10579" spans="4:4" x14ac:dyDescent="0.45">
      <c r="D10579" s="47"/>
    </row>
    <row r="10580" spans="4:4" x14ac:dyDescent="0.45">
      <c r="D10580" s="47"/>
    </row>
    <row r="10581" spans="4:4" x14ac:dyDescent="0.45">
      <c r="D10581" s="47"/>
    </row>
    <row r="10582" spans="4:4" x14ac:dyDescent="0.45">
      <c r="D10582" s="47"/>
    </row>
    <row r="10583" spans="4:4" x14ac:dyDescent="0.45">
      <c r="D10583" s="47"/>
    </row>
    <row r="10584" spans="4:4" x14ac:dyDescent="0.45">
      <c r="D10584" s="47"/>
    </row>
    <row r="10585" spans="4:4" x14ac:dyDescent="0.45">
      <c r="D10585" s="47"/>
    </row>
    <row r="10586" spans="4:4" x14ac:dyDescent="0.45">
      <c r="D10586" s="47"/>
    </row>
    <row r="10587" spans="4:4" x14ac:dyDescent="0.45">
      <c r="D10587" s="47"/>
    </row>
    <row r="10588" spans="4:4" x14ac:dyDescent="0.45">
      <c r="D10588" s="47"/>
    </row>
    <row r="10589" spans="4:4" x14ac:dyDescent="0.45">
      <c r="D10589" s="47"/>
    </row>
    <row r="10590" spans="4:4" x14ac:dyDescent="0.45">
      <c r="D10590" s="47"/>
    </row>
    <row r="10591" spans="4:4" x14ac:dyDescent="0.45">
      <c r="D10591" s="47"/>
    </row>
    <row r="10592" spans="4:4" x14ac:dyDescent="0.45">
      <c r="D10592" s="47"/>
    </row>
    <row r="10593" spans="4:4" x14ac:dyDescent="0.45">
      <c r="D10593" s="47"/>
    </row>
    <row r="10594" spans="4:4" x14ac:dyDescent="0.45">
      <c r="D10594" s="47"/>
    </row>
    <row r="10595" spans="4:4" x14ac:dyDescent="0.45">
      <c r="D10595" s="47"/>
    </row>
    <row r="10596" spans="4:4" x14ac:dyDescent="0.45">
      <c r="D10596" s="47"/>
    </row>
    <row r="10597" spans="4:4" x14ac:dyDescent="0.45">
      <c r="D10597" s="47"/>
    </row>
    <row r="10598" spans="4:4" x14ac:dyDescent="0.45">
      <c r="D10598" s="47"/>
    </row>
    <row r="10599" spans="4:4" x14ac:dyDescent="0.45">
      <c r="D10599" s="47"/>
    </row>
    <row r="10600" spans="4:4" x14ac:dyDescent="0.45">
      <c r="D10600" s="47"/>
    </row>
    <row r="10601" spans="4:4" x14ac:dyDescent="0.45">
      <c r="D10601" s="47"/>
    </row>
    <row r="10602" spans="4:4" x14ac:dyDescent="0.45">
      <c r="D10602" s="47"/>
    </row>
    <row r="10603" spans="4:4" x14ac:dyDescent="0.45">
      <c r="D10603" s="47"/>
    </row>
    <row r="10604" spans="4:4" x14ac:dyDescent="0.45">
      <c r="D10604" s="47"/>
    </row>
    <row r="10605" spans="4:4" x14ac:dyDescent="0.45">
      <c r="D10605" s="47"/>
    </row>
    <row r="10606" spans="4:4" x14ac:dyDescent="0.45">
      <c r="D10606" s="47"/>
    </row>
    <row r="10607" spans="4:4" x14ac:dyDescent="0.45">
      <c r="D10607" s="47"/>
    </row>
    <row r="10608" spans="4:4" x14ac:dyDescent="0.45">
      <c r="D10608" s="47"/>
    </row>
    <row r="10609" spans="4:4" x14ac:dyDescent="0.45">
      <c r="D10609" s="47"/>
    </row>
    <row r="10610" spans="4:4" x14ac:dyDescent="0.45">
      <c r="D10610" s="47"/>
    </row>
    <row r="10611" spans="4:4" x14ac:dyDescent="0.45">
      <c r="D10611" s="47"/>
    </row>
    <row r="10612" spans="4:4" x14ac:dyDescent="0.45">
      <c r="D10612" s="47"/>
    </row>
    <row r="10613" spans="4:4" x14ac:dyDescent="0.45">
      <c r="D10613" s="47"/>
    </row>
    <row r="10614" spans="4:4" x14ac:dyDescent="0.45">
      <c r="D10614" s="47"/>
    </row>
    <row r="10615" spans="4:4" x14ac:dyDescent="0.45">
      <c r="D10615" s="47"/>
    </row>
    <row r="10616" spans="4:4" x14ac:dyDescent="0.45">
      <c r="D10616" s="47"/>
    </row>
    <row r="10617" spans="4:4" x14ac:dyDescent="0.45">
      <c r="D10617" s="47"/>
    </row>
    <row r="10618" spans="4:4" x14ac:dyDescent="0.45">
      <c r="D10618" s="47"/>
    </row>
    <row r="10619" spans="4:4" x14ac:dyDescent="0.45">
      <c r="D10619" s="47"/>
    </row>
    <row r="10620" spans="4:4" x14ac:dyDescent="0.45">
      <c r="D10620" s="47"/>
    </row>
    <row r="10621" spans="4:4" x14ac:dyDescent="0.45">
      <c r="D10621" s="47"/>
    </row>
    <row r="10622" spans="4:4" x14ac:dyDescent="0.45">
      <c r="D10622" s="47"/>
    </row>
    <row r="10623" spans="4:4" x14ac:dyDescent="0.45">
      <c r="D10623" s="47"/>
    </row>
    <row r="10624" spans="4:4" x14ac:dyDescent="0.45">
      <c r="D10624" s="47"/>
    </row>
    <row r="10625" spans="4:4" x14ac:dyDescent="0.45">
      <c r="D10625" s="47"/>
    </row>
    <row r="10626" spans="4:4" x14ac:dyDescent="0.45">
      <c r="D10626" s="47"/>
    </row>
    <row r="10627" spans="4:4" x14ac:dyDescent="0.45">
      <c r="D10627" s="47"/>
    </row>
    <row r="10628" spans="4:4" x14ac:dyDescent="0.45">
      <c r="D10628" s="47"/>
    </row>
    <row r="10629" spans="4:4" x14ac:dyDescent="0.45">
      <c r="D10629" s="47"/>
    </row>
    <row r="10630" spans="4:4" x14ac:dyDescent="0.45">
      <c r="D10630" s="47"/>
    </row>
    <row r="10631" spans="4:4" x14ac:dyDescent="0.45">
      <c r="D10631" s="47"/>
    </row>
    <row r="10632" spans="4:4" x14ac:dyDescent="0.45">
      <c r="D10632" s="47"/>
    </row>
    <row r="10633" spans="4:4" x14ac:dyDescent="0.45">
      <c r="D10633" s="47"/>
    </row>
    <row r="10634" spans="4:4" x14ac:dyDescent="0.45">
      <c r="D10634" s="47"/>
    </row>
    <row r="10635" spans="4:4" x14ac:dyDescent="0.45">
      <c r="D10635" s="47"/>
    </row>
    <row r="10636" spans="4:4" x14ac:dyDescent="0.45">
      <c r="D10636" s="47"/>
    </row>
    <row r="10637" spans="4:4" x14ac:dyDescent="0.45">
      <c r="D10637" s="47"/>
    </row>
    <row r="10638" spans="4:4" x14ac:dyDescent="0.45">
      <c r="D10638" s="47"/>
    </row>
    <row r="10639" spans="4:4" x14ac:dyDescent="0.45">
      <c r="D10639" s="47"/>
    </row>
    <row r="10640" spans="4:4" x14ac:dyDescent="0.45">
      <c r="D10640" s="47"/>
    </row>
    <row r="10641" spans="4:4" x14ac:dyDescent="0.45">
      <c r="D10641" s="47"/>
    </row>
    <row r="10642" spans="4:4" x14ac:dyDescent="0.45">
      <c r="D10642" s="47"/>
    </row>
    <row r="10643" spans="4:4" x14ac:dyDescent="0.45">
      <c r="D10643" s="47"/>
    </row>
    <row r="10644" spans="4:4" x14ac:dyDescent="0.45">
      <c r="D10644" s="47"/>
    </row>
    <row r="10645" spans="4:4" x14ac:dyDescent="0.45">
      <c r="D10645" s="47"/>
    </row>
    <row r="10646" spans="4:4" x14ac:dyDescent="0.45">
      <c r="D10646" s="47"/>
    </row>
    <row r="10647" spans="4:4" x14ac:dyDescent="0.45">
      <c r="D10647" s="47"/>
    </row>
    <row r="10648" spans="4:4" x14ac:dyDescent="0.45">
      <c r="D10648" s="47"/>
    </row>
    <row r="10649" spans="4:4" x14ac:dyDescent="0.45">
      <c r="D10649" s="47"/>
    </row>
    <row r="10650" spans="4:4" x14ac:dyDescent="0.45">
      <c r="D10650" s="47"/>
    </row>
    <row r="10651" spans="4:4" x14ac:dyDescent="0.45">
      <c r="D10651" s="47"/>
    </row>
    <row r="10652" spans="4:4" x14ac:dyDescent="0.45">
      <c r="D10652" s="47"/>
    </row>
    <row r="10653" spans="4:4" x14ac:dyDescent="0.45">
      <c r="D10653" s="47"/>
    </row>
    <row r="10654" spans="4:4" x14ac:dyDescent="0.45">
      <c r="D10654" s="47"/>
    </row>
    <row r="10655" spans="4:4" x14ac:dyDescent="0.45">
      <c r="D10655" s="47"/>
    </row>
    <row r="10656" spans="4:4" x14ac:dyDescent="0.45">
      <c r="D10656" s="47"/>
    </row>
    <row r="10657" spans="4:4" x14ac:dyDescent="0.45">
      <c r="D10657" s="47"/>
    </row>
    <row r="10658" spans="4:4" x14ac:dyDescent="0.45">
      <c r="D10658" s="47"/>
    </row>
    <row r="10659" spans="4:4" x14ac:dyDescent="0.45">
      <c r="D10659" s="47"/>
    </row>
    <row r="10660" spans="4:4" x14ac:dyDescent="0.45">
      <c r="D10660" s="47"/>
    </row>
    <row r="10661" spans="4:4" x14ac:dyDescent="0.45">
      <c r="D10661" s="47"/>
    </row>
    <row r="10662" spans="4:4" x14ac:dyDescent="0.45">
      <c r="D10662" s="47"/>
    </row>
    <row r="10663" spans="4:4" x14ac:dyDescent="0.45">
      <c r="D10663" s="47"/>
    </row>
    <row r="10664" spans="4:4" x14ac:dyDescent="0.45">
      <c r="D10664" s="47"/>
    </row>
    <row r="10665" spans="4:4" x14ac:dyDescent="0.45">
      <c r="D10665" s="47"/>
    </row>
    <row r="10666" spans="4:4" x14ac:dyDescent="0.45">
      <c r="D10666" s="47"/>
    </row>
    <row r="10667" spans="4:4" x14ac:dyDescent="0.45">
      <c r="D10667" s="47"/>
    </row>
    <row r="10668" spans="4:4" x14ac:dyDescent="0.45">
      <c r="D10668" s="47"/>
    </row>
    <row r="10669" spans="4:4" x14ac:dyDescent="0.45">
      <c r="D10669" s="47"/>
    </row>
    <row r="10670" spans="4:4" x14ac:dyDescent="0.45">
      <c r="D10670" s="47"/>
    </row>
    <row r="10671" spans="4:4" x14ac:dyDescent="0.45">
      <c r="D10671" s="47"/>
    </row>
    <row r="10672" spans="4:4" x14ac:dyDescent="0.45">
      <c r="D10672" s="47"/>
    </row>
    <row r="10673" spans="4:4" x14ac:dyDescent="0.45">
      <c r="D10673" s="47"/>
    </row>
    <row r="10674" spans="4:4" x14ac:dyDescent="0.45">
      <c r="D10674" s="47"/>
    </row>
    <row r="10675" spans="4:4" x14ac:dyDescent="0.45">
      <c r="D10675" s="47"/>
    </row>
    <row r="10676" spans="4:4" x14ac:dyDescent="0.45">
      <c r="D10676" s="47"/>
    </row>
    <row r="10677" spans="4:4" x14ac:dyDescent="0.45">
      <c r="D10677" s="47"/>
    </row>
    <row r="10678" spans="4:4" x14ac:dyDescent="0.45">
      <c r="D10678" s="47"/>
    </row>
    <row r="10679" spans="4:4" x14ac:dyDescent="0.45">
      <c r="D10679" s="47"/>
    </row>
    <row r="10680" spans="4:4" x14ac:dyDescent="0.45">
      <c r="D10680" s="47"/>
    </row>
    <row r="10681" spans="4:4" x14ac:dyDescent="0.45">
      <c r="D10681" s="47"/>
    </row>
    <row r="10682" spans="4:4" x14ac:dyDescent="0.45">
      <c r="D10682" s="47"/>
    </row>
    <row r="10683" spans="4:4" x14ac:dyDescent="0.45">
      <c r="D10683" s="47"/>
    </row>
    <row r="10684" spans="4:4" x14ac:dyDescent="0.45">
      <c r="D10684" s="47"/>
    </row>
    <row r="10685" spans="4:4" x14ac:dyDescent="0.45">
      <c r="D10685" s="47"/>
    </row>
    <row r="10686" spans="4:4" x14ac:dyDescent="0.45">
      <c r="D10686" s="47"/>
    </row>
    <row r="10687" spans="4:4" x14ac:dyDescent="0.45">
      <c r="D10687" s="47"/>
    </row>
    <row r="10688" spans="4:4" x14ac:dyDescent="0.45">
      <c r="D10688" s="47"/>
    </row>
    <row r="10689" spans="4:4" x14ac:dyDescent="0.45">
      <c r="D10689" s="47"/>
    </row>
    <row r="10690" spans="4:4" x14ac:dyDescent="0.45">
      <c r="D10690" s="47"/>
    </row>
    <row r="10691" spans="4:4" x14ac:dyDescent="0.45">
      <c r="D10691" s="47"/>
    </row>
    <row r="10692" spans="4:4" x14ac:dyDescent="0.45">
      <c r="D10692" s="47"/>
    </row>
    <row r="10693" spans="4:4" x14ac:dyDescent="0.45">
      <c r="D10693" s="47"/>
    </row>
    <row r="10694" spans="4:4" x14ac:dyDescent="0.45">
      <c r="D10694" s="47"/>
    </row>
    <row r="10695" spans="4:4" x14ac:dyDescent="0.45">
      <c r="D10695" s="47"/>
    </row>
    <row r="10696" spans="4:4" x14ac:dyDescent="0.45">
      <c r="D10696" s="47"/>
    </row>
    <row r="10697" spans="4:4" x14ac:dyDescent="0.45">
      <c r="D10697" s="47"/>
    </row>
    <row r="10698" spans="4:4" x14ac:dyDescent="0.45">
      <c r="D10698" s="47"/>
    </row>
    <row r="10699" spans="4:4" x14ac:dyDescent="0.45">
      <c r="D10699" s="47"/>
    </row>
    <row r="10700" spans="4:4" x14ac:dyDescent="0.45">
      <c r="D10700" s="47"/>
    </row>
    <row r="10701" spans="4:4" x14ac:dyDescent="0.45">
      <c r="D10701" s="47"/>
    </row>
    <row r="10702" spans="4:4" x14ac:dyDescent="0.45">
      <c r="D10702" s="47"/>
    </row>
    <row r="10703" spans="4:4" x14ac:dyDescent="0.45">
      <c r="D10703" s="47"/>
    </row>
    <row r="10704" spans="4:4" x14ac:dyDescent="0.45">
      <c r="D10704" s="47"/>
    </row>
    <row r="10705" spans="4:4" x14ac:dyDescent="0.45">
      <c r="D10705" s="47"/>
    </row>
    <row r="10706" spans="4:4" x14ac:dyDescent="0.45">
      <c r="D10706" s="47"/>
    </row>
    <row r="10707" spans="4:4" x14ac:dyDescent="0.45">
      <c r="D10707" s="47"/>
    </row>
    <row r="10708" spans="4:4" x14ac:dyDescent="0.45">
      <c r="D10708" s="47"/>
    </row>
    <row r="10709" spans="4:4" x14ac:dyDescent="0.45">
      <c r="D10709" s="47"/>
    </row>
    <row r="10710" spans="4:4" x14ac:dyDescent="0.45">
      <c r="D10710" s="47"/>
    </row>
    <row r="10711" spans="4:4" x14ac:dyDescent="0.45">
      <c r="D10711" s="47"/>
    </row>
    <row r="10712" spans="4:4" x14ac:dyDescent="0.45">
      <c r="D10712" s="47"/>
    </row>
    <row r="10713" spans="4:4" x14ac:dyDescent="0.45">
      <c r="D10713" s="47"/>
    </row>
    <row r="10714" spans="4:4" x14ac:dyDescent="0.45">
      <c r="D10714" s="47"/>
    </row>
    <row r="10715" spans="4:4" x14ac:dyDescent="0.45">
      <c r="D10715" s="47"/>
    </row>
    <row r="10716" spans="4:4" x14ac:dyDescent="0.45">
      <c r="D10716" s="47"/>
    </row>
    <row r="10717" spans="4:4" x14ac:dyDescent="0.45">
      <c r="D10717" s="47"/>
    </row>
    <row r="10718" spans="4:4" x14ac:dyDescent="0.45">
      <c r="D10718" s="47"/>
    </row>
    <row r="10719" spans="4:4" x14ac:dyDescent="0.45">
      <c r="D10719" s="47"/>
    </row>
    <row r="10720" spans="4:4" x14ac:dyDescent="0.45">
      <c r="D10720" s="47"/>
    </row>
    <row r="10721" spans="4:4" x14ac:dyDescent="0.45">
      <c r="D10721" s="47"/>
    </row>
    <row r="10722" spans="4:4" x14ac:dyDescent="0.45">
      <c r="D10722" s="47"/>
    </row>
    <row r="10723" spans="4:4" x14ac:dyDescent="0.45">
      <c r="D10723" s="47"/>
    </row>
    <row r="10724" spans="4:4" x14ac:dyDescent="0.45">
      <c r="D10724" s="47"/>
    </row>
    <row r="10725" spans="4:4" x14ac:dyDescent="0.45">
      <c r="D10725" s="47"/>
    </row>
    <row r="10726" spans="4:4" x14ac:dyDescent="0.45">
      <c r="D10726" s="47"/>
    </row>
    <row r="10727" spans="4:4" x14ac:dyDescent="0.45">
      <c r="D10727" s="47"/>
    </row>
    <row r="10728" spans="4:4" x14ac:dyDescent="0.45">
      <c r="D10728" s="47"/>
    </row>
    <row r="10729" spans="4:4" x14ac:dyDescent="0.45">
      <c r="D10729" s="47"/>
    </row>
    <row r="10730" spans="4:4" x14ac:dyDescent="0.45">
      <c r="D10730" s="47"/>
    </row>
    <row r="10731" spans="4:4" x14ac:dyDescent="0.45">
      <c r="D10731" s="47"/>
    </row>
    <row r="10732" spans="4:4" x14ac:dyDescent="0.45">
      <c r="D10732" s="47"/>
    </row>
    <row r="10733" spans="4:4" x14ac:dyDescent="0.45">
      <c r="D10733" s="47"/>
    </row>
    <row r="10734" spans="4:4" x14ac:dyDescent="0.45">
      <c r="D10734" s="47"/>
    </row>
    <row r="10735" spans="4:4" x14ac:dyDescent="0.45">
      <c r="D10735" s="47"/>
    </row>
    <row r="10736" spans="4:4" x14ac:dyDescent="0.45">
      <c r="D10736" s="47"/>
    </row>
    <row r="10737" spans="4:4" x14ac:dyDescent="0.45">
      <c r="D10737" s="47"/>
    </row>
    <row r="10738" spans="4:4" x14ac:dyDescent="0.45">
      <c r="D10738" s="47"/>
    </row>
    <row r="10739" spans="4:4" x14ac:dyDescent="0.45">
      <c r="D10739" s="47"/>
    </row>
    <row r="10740" spans="4:4" x14ac:dyDescent="0.45">
      <c r="D10740" s="47"/>
    </row>
    <row r="10741" spans="4:4" x14ac:dyDescent="0.45">
      <c r="D10741" s="47"/>
    </row>
    <row r="10742" spans="4:4" x14ac:dyDescent="0.45">
      <c r="D10742" s="47"/>
    </row>
    <row r="10743" spans="4:4" x14ac:dyDescent="0.45">
      <c r="D10743" s="47"/>
    </row>
    <row r="10744" spans="4:4" x14ac:dyDescent="0.45">
      <c r="D10744" s="47"/>
    </row>
    <row r="10745" spans="4:4" x14ac:dyDescent="0.45">
      <c r="D10745" s="47"/>
    </row>
    <row r="10746" spans="4:4" x14ac:dyDescent="0.45">
      <c r="D10746" s="47"/>
    </row>
    <row r="10747" spans="4:4" x14ac:dyDescent="0.45">
      <c r="D10747" s="47"/>
    </row>
    <row r="10748" spans="4:4" x14ac:dyDescent="0.45">
      <c r="D10748" s="47"/>
    </row>
    <row r="10749" spans="4:4" x14ac:dyDescent="0.45">
      <c r="D10749" s="47"/>
    </row>
    <row r="10750" spans="4:4" x14ac:dyDescent="0.45">
      <c r="D10750" s="47"/>
    </row>
    <row r="10751" spans="4:4" x14ac:dyDescent="0.45">
      <c r="D10751" s="47"/>
    </row>
    <row r="10752" spans="4:4" x14ac:dyDescent="0.45">
      <c r="D10752" s="47"/>
    </row>
    <row r="10753" spans="4:4" x14ac:dyDescent="0.45">
      <c r="D10753" s="47"/>
    </row>
    <row r="10754" spans="4:4" x14ac:dyDescent="0.45">
      <c r="D10754" s="47"/>
    </row>
    <row r="10755" spans="4:4" x14ac:dyDescent="0.45">
      <c r="D10755" s="47"/>
    </row>
    <row r="10756" spans="4:4" x14ac:dyDescent="0.45">
      <c r="D10756" s="47"/>
    </row>
    <row r="10757" spans="4:4" x14ac:dyDescent="0.45">
      <c r="D10757" s="47"/>
    </row>
    <row r="10758" spans="4:4" x14ac:dyDescent="0.45">
      <c r="D10758" s="47"/>
    </row>
    <row r="10759" spans="4:4" x14ac:dyDescent="0.45">
      <c r="D10759" s="47"/>
    </row>
    <row r="10760" spans="4:4" x14ac:dyDescent="0.45">
      <c r="D10760" s="47"/>
    </row>
    <row r="10761" spans="4:4" x14ac:dyDescent="0.45">
      <c r="D10761" s="47"/>
    </row>
    <row r="10762" spans="4:4" x14ac:dyDescent="0.45">
      <c r="D10762" s="47"/>
    </row>
    <row r="10763" spans="4:4" x14ac:dyDescent="0.45">
      <c r="D10763" s="47"/>
    </row>
    <row r="10764" spans="4:4" x14ac:dyDescent="0.45">
      <c r="D10764" s="47"/>
    </row>
    <row r="10765" spans="4:4" x14ac:dyDescent="0.45">
      <c r="D10765" s="47"/>
    </row>
    <row r="10766" spans="4:4" x14ac:dyDescent="0.45">
      <c r="D10766" s="47"/>
    </row>
    <row r="10767" spans="4:4" x14ac:dyDescent="0.45">
      <c r="D10767" s="47"/>
    </row>
    <row r="10768" spans="4:4" x14ac:dyDescent="0.45">
      <c r="D10768" s="47"/>
    </row>
    <row r="10769" spans="4:4" x14ac:dyDescent="0.45">
      <c r="D10769" s="47"/>
    </row>
    <row r="10770" spans="4:4" x14ac:dyDescent="0.45">
      <c r="D10770" s="47"/>
    </row>
    <row r="10771" spans="4:4" x14ac:dyDescent="0.45">
      <c r="D10771" s="47"/>
    </row>
    <row r="10772" spans="4:4" x14ac:dyDescent="0.45">
      <c r="D10772" s="47"/>
    </row>
    <row r="10773" spans="4:4" x14ac:dyDescent="0.45">
      <c r="D10773" s="47"/>
    </row>
    <row r="10774" spans="4:4" x14ac:dyDescent="0.45">
      <c r="D10774" s="47"/>
    </row>
    <row r="10775" spans="4:4" x14ac:dyDescent="0.45">
      <c r="D10775" s="47"/>
    </row>
    <row r="10776" spans="4:4" x14ac:dyDescent="0.45">
      <c r="D10776" s="47"/>
    </row>
    <row r="10777" spans="4:4" x14ac:dyDescent="0.45">
      <c r="D10777" s="47"/>
    </row>
    <row r="10778" spans="4:4" x14ac:dyDescent="0.45">
      <c r="D10778" s="47"/>
    </row>
    <row r="10779" spans="4:4" x14ac:dyDescent="0.45">
      <c r="D10779" s="47"/>
    </row>
    <row r="10780" spans="4:4" x14ac:dyDescent="0.45">
      <c r="D10780" s="47"/>
    </row>
    <row r="10781" spans="4:4" x14ac:dyDescent="0.45">
      <c r="D10781" s="47"/>
    </row>
    <row r="10782" spans="4:4" x14ac:dyDescent="0.45">
      <c r="D10782" s="47"/>
    </row>
    <row r="10783" spans="4:4" x14ac:dyDescent="0.45">
      <c r="D10783" s="47"/>
    </row>
    <row r="10784" spans="4:4" x14ac:dyDescent="0.45">
      <c r="D10784" s="47"/>
    </row>
    <row r="10785" spans="4:4" x14ac:dyDescent="0.45">
      <c r="D10785" s="47"/>
    </row>
    <row r="10786" spans="4:4" x14ac:dyDescent="0.45">
      <c r="D10786" s="47"/>
    </row>
    <row r="10787" spans="4:4" x14ac:dyDescent="0.45">
      <c r="D10787" s="47"/>
    </row>
    <row r="10788" spans="4:4" x14ac:dyDescent="0.45">
      <c r="D10788" s="47"/>
    </row>
    <row r="10789" spans="4:4" x14ac:dyDescent="0.45">
      <c r="D10789" s="47"/>
    </row>
    <row r="10790" spans="4:4" x14ac:dyDescent="0.45">
      <c r="D10790" s="47"/>
    </row>
    <row r="10791" spans="4:4" x14ac:dyDescent="0.45">
      <c r="D10791" s="47"/>
    </row>
    <row r="10792" spans="4:4" x14ac:dyDescent="0.45">
      <c r="D10792" s="47"/>
    </row>
    <row r="10793" spans="4:4" x14ac:dyDescent="0.45">
      <c r="D10793" s="47"/>
    </row>
    <row r="10794" spans="4:4" x14ac:dyDescent="0.45">
      <c r="D10794" s="47"/>
    </row>
    <row r="10795" spans="4:4" x14ac:dyDescent="0.45">
      <c r="D10795" s="47"/>
    </row>
    <row r="10796" spans="4:4" x14ac:dyDescent="0.45">
      <c r="D10796" s="47"/>
    </row>
    <row r="10797" spans="4:4" x14ac:dyDescent="0.45">
      <c r="D10797" s="47"/>
    </row>
    <row r="10798" spans="4:4" x14ac:dyDescent="0.45">
      <c r="D10798" s="47"/>
    </row>
    <row r="10799" spans="4:4" x14ac:dyDescent="0.45">
      <c r="D10799" s="47"/>
    </row>
    <row r="10800" spans="4:4" x14ac:dyDescent="0.45">
      <c r="D10800" s="47"/>
    </row>
    <row r="10801" spans="4:4" x14ac:dyDescent="0.45">
      <c r="D10801" s="47"/>
    </row>
    <row r="10802" spans="4:4" x14ac:dyDescent="0.45">
      <c r="D10802" s="47"/>
    </row>
    <row r="10803" spans="4:4" x14ac:dyDescent="0.45">
      <c r="D10803" s="47"/>
    </row>
    <row r="10804" spans="4:4" x14ac:dyDescent="0.45">
      <c r="D10804" s="47"/>
    </row>
    <row r="10805" spans="4:4" x14ac:dyDescent="0.45">
      <c r="D10805" s="47"/>
    </row>
    <row r="10806" spans="4:4" x14ac:dyDescent="0.45">
      <c r="D10806" s="47"/>
    </row>
    <row r="10807" spans="4:4" x14ac:dyDescent="0.45">
      <c r="D10807" s="47"/>
    </row>
    <row r="10808" spans="4:4" x14ac:dyDescent="0.45">
      <c r="D10808" s="47"/>
    </row>
    <row r="10809" spans="4:4" x14ac:dyDescent="0.45">
      <c r="D10809" s="47"/>
    </row>
    <row r="10810" spans="4:4" x14ac:dyDescent="0.45">
      <c r="D10810" s="47"/>
    </row>
    <row r="10811" spans="4:4" x14ac:dyDescent="0.45">
      <c r="D10811" s="47"/>
    </row>
    <row r="10812" spans="4:4" x14ac:dyDescent="0.45">
      <c r="D10812" s="47"/>
    </row>
    <row r="10813" spans="4:4" x14ac:dyDescent="0.45">
      <c r="D10813" s="47"/>
    </row>
    <row r="10814" spans="4:4" x14ac:dyDescent="0.45">
      <c r="D10814" s="47"/>
    </row>
    <row r="10815" spans="4:4" x14ac:dyDescent="0.45">
      <c r="D10815" s="47"/>
    </row>
    <row r="10816" spans="4:4" x14ac:dyDescent="0.45">
      <c r="D10816" s="47"/>
    </row>
    <row r="10817" spans="4:4" x14ac:dyDescent="0.45">
      <c r="D10817" s="47"/>
    </row>
    <row r="10818" spans="4:4" x14ac:dyDescent="0.45">
      <c r="D10818" s="47"/>
    </row>
    <row r="10819" spans="4:4" x14ac:dyDescent="0.45">
      <c r="D10819" s="47"/>
    </row>
    <row r="10820" spans="4:4" x14ac:dyDescent="0.45">
      <c r="D10820" s="47"/>
    </row>
    <row r="10821" spans="4:4" x14ac:dyDescent="0.45">
      <c r="D10821" s="47"/>
    </row>
    <row r="10822" spans="4:4" x14ac:dyDescent="0.45">
      <c r="D10822" s="47"/>
    </row>
    <row r="10823" spans="4:4" x14ac:dyDescent="0.45">
      <c r="D10823" s="47"/>
    </row>
    <row r="10824" spans="4:4" x14ac:dyDescent="0.45">
      <c r="D10824" s="47"/>
    </row>
    <row r="10825" spans="4:4" x14ac:dyDescent="0.45">
      <c r="D10825" s="47"/>
    </row>
    <row r="10826" spans="4:4" x14ac:dyDescent="0.45">
      <c r="D10826" s="47"/>
    </row>
    <row r="10827" spans="4:4" x14ac:dyDescent="0.45">
      <c r="D10827" s="47"/>
    </row>
    <row r="10828" spans="4:4" x14ac:dyDescent="0.45">
      <c r="D10828" s="47"/>
    </row>
    <row r="10829" spans="4:4" x14ac:dyDescent="0.45">
      <c r="D10829" s="47"/>
    </row>
    <row r="10830" spans="4:4" x14ac:dyDescent="0.45">
      <c r="D10830" s="47"/>
    </row>
    <row r="10831" spans="4:4" x14ac:dyDescent="0.45">
      <c r="D10831" s="47"/>
    </row>
    <row r="10832" spans="4:4" x14ac:dyDescent="0.45">
      <c r="D10832" s="47"/>
    </row>
    <row r="10833" spans="4:4" x14ac:dyDescent="0.45">
      <c r="D10833" s="47"/>
    </row>
    <row r="10834" spans="4:4" x14ac:dyDescent="0.45">
      <c r="D10834" s="47"/>
    </row>
    <row r="10835" spans="4:4" x14ac:dyDescent="0.45">
      <c r="D10835" s="47"/>
    </row>
    <row r="10836" spans="4:4" x14ac:dyDescent="0.45">
      <c r="D10836" s="47"/>
    </row>
    <row r="10837" spans="4:4" x14ac:dyDescent="0.45">
      <c r="D10837" s="47"/>
    </row>
    <row r="10838" spans="4:4" x14ac:dyDescent="0.45">
      <c r="D10838" s="47"/>
    </row>
    <row r="10839" spans="4:4" x14ac:dyDescent="0.45">
      <c r="D10839" s="47"/>
    </row>
    <row r="10840" spans="4:4" x14ac:dyDescent="0.45">
      <c r="D10840" s="47"/>
    </row>
    <row r="10841" spans="4:4" x14ac:dyDescent="0.45">
      <c r="D10841" s="47"/>
    </row>
    <row r="10842" spans="4:4" x14ac:dyDescent="0.45">
      <c r="D10842" s="47"/>
    </row>
    <row r="10843" spans="4:4" x14ac:dyDescent="0.45">
      <c r="D10843" s="47"/>
    </row>
    <row r="10844" spans="4:4" x14ac:dyDescent="0.45">
      <c r="D10844" s="47"/>
    </row>
    <row r="10845" spans="4:4" x14ac:dyDescent="0.45">
      <c r="D10845" s="47"/>
    </row>
    <row r="10846" spans="4:4" x14ac:dyDescent="0.45">
      <c r="D10846" s="47"/>
    </row>
    <row r="10847" spans="4:4" x14ac:dyDescent="0.45">
      <c r="D10847" s="47"/>
    </row>
    <row r="10848" spans="4:4" x14ac:dyDescent="0.45">
      <c r="D10848" s="47"/>
    </row>
    <row r="10849" spans="4:4" x14ac:dyDescent="0.45">
      <c r="D10849" s="47"/>
    </row>
    <row r="10850" spans="4:4" x14ac:dyDescent="0.45">
      <c r="D10850" s="47"/>
    </row>
    <row r="10851" spans="4:4" x14ac:dyDescent="0.45">
      <c r="D10851" s="47"/>
    </row>
    <row r="10852" spans="4:4" x14ac:dyDescent="0.45">
      <c r="D10852" s="47"/>
    </row>
    <row r="10853" spans="4:4" x14ac:dyDescent="0.45">
      <c r="D10853" s="47"/>
    </row>
    <row r="10854" spans="4:4" x14ac:dyDescent="0.45">
      <c r="D10854" s="47"/>
    </row>
    <row r="10855" spans="4:4" x14ac:dyDescent="0.45">
      <c r="D10855" s="47"/>
    </row>
    <row r="10856" spans="4:4" x14ac:dyDescent="0.45">
      <c r="D10856" s="47"/>
    </row>
    <row r="10857" spans="4:4" x14ac:dyDescent="0.45">
      <c r="D10857" s="47"/>
    </row>
    <row r="10858" spans="4:4" x14ac:dyDescent="0.45">
      <c r="D10858" s="47"/>
    </row>
    <row r="10859" spans="4:4" x14ac:dyDescent="0.45">
      <c r="D10859" s="47"/>
    </row>
    <row r="10860" spans="4:4" x14ac:dyDescent="0.45">
      <c r="D10860" s="47"/>
    </row>
    <row r="10861" spans="4:4" x14ac:dyDescent="0.45">
      <c r="D10861" s="47"/>
    </row>
    <row r="10862" spans="4:4" x14ac:dyDescent="0.45">
      <c r="D10862" s="47"/>
    </row>
    <row r="10863" spans="4:4" x14ac:dyDescent="0.45">
      <c r="D10863" s="47"/>
    </row>
    <row r="10864" spans="4:4" x14ac:dyDescent="0.45">
      <c r="D10864" s="47"/>
    </row>
    <row r="10865" spans="4:4" x14ac:dyDescent="0.45">
      <c r="D10865" s="47"/>
    </row>
    <row r="10866" spans="4:4" x14ac:dyDescent="0.45">
      <c r="D10866" s="47"/>
    </row>
    <row r="10867" spans="4:4" x14ac:dyDescent="0.45">
      <c r="D10867" s="47"/>
    </row>
    <row r="10868" spans="4:4" x14ac:dyDescent="0.45">
      <c r="D10868" s="47"/>
    </row>
    <row r="10869" spans="4:4" x14ac:dyDescent="0.45">
      <c r="D10869" s="47"/>
    </row>
    <row r="10870" spans="4:4" x14ac:dyDescent="0.45">
      <c r="D10870" s="47"/>
    </row>
    <row r="10871" spans="4:4" x14ac:dyDescent="0.45">
      <c r="D10871" s="47"/>
    </row>
    <row r="10872" spans="4:4" x14ac:dyDescent="0.45">
      <c r="D10872" s="47"/>
    </row>
    <row r="10873" spans="4:4" x14ac:dyDescent="0.45">
      <c r="D10873" s="47"/>
    </row>
    <row r="10874" spans="4:4" x14ac:dyDescent="0.45">
      <c r="D10874" s="47"/>
    </row>
    <row r="10875" spans="4:4" x14ac:dyDescent="0.45">
      <c r="D10875" s="47"/>
    </row>
    <row r="10876" spans="4:4" x14ac:dyDescent="0.45">
      <c r="D10876" s="47"/>
    </row>
    <row r="10877" spans="4:4" x14ac:dyDescent="0.45">
      <c r="D10877" s="47"/>
    </row>
    <row r="10878" spans="4:4" x14ac:dyDescent="0.45">
      <c r="D10878" s="47"/>
    </row>
    <row r="10879" spans="4:4" x14ac:dyDescent="0.45">
      <c r="D10879" s="47"/>
    </row>
    <row r="10880" spans="4:4" x14ac:dyDescent="0.45">
      <c r="D10880" s="47"/>
    </row>
    <row r="10881" spans="4:4" x14ac:dyDescent="0.45">
      <c r="D10881" s="47"/>
    </row>
    <row r="10882" spans="4:4" x14ac:dyDescent="0.45">
      <c r="D10882" s="47"/>
    </row>
    <row r="10883" spans="4:4" x14ac:dyDescent="0.45">
      <c r="D10883" s="47"/>
    </row>
    <row r="10884" spans="4:4" x14ac:dyDescent="0.45">
      <c r="D10884" s="47"/>
    </row>
    <row r="10885" spans="4:4" x14ac:dyDescent="0.45">
      <c r="D10885" s="47"/>
    </row>
    <row r="10886" spans="4:4" x14ac:dyDescent="0.45">
      <c r="D10886" s="47"/>
    </row>
    <row r="10887" spans="4:4" x14ac:dyDescent="0.45">
      <c r="D10887" s="47"/>
    </row>
    <row r="10888" spans="4:4" x14ac:dyDescent="0.45">
      <c r="D10888" s="47"/>
    </row>
    <row r="10889" spans="4:4" x14ac:dyDescent="0.45">
      <c r="D10889" s="47"/>
    </row>
    <row r="10890" spans="4:4" x14ac:dyDescent="0.45">
      <c r="D10890" s="47"/>
    </row>
    <row r="10891" spans="4:4" x14ac:dyDescent="0.45">
      <c r="D10891" s="47"/>
    </row>
    <row r="10892" spans="4:4" x14ac:dyDescent="0.45">
      <c r="D10892" s="47"/>
    </row>
    <row r="10893" spans="4:4" x14ac:dyDescent="0.45">
      <c r="D10893" s="47"/>
    </row>
    <row r="10894" spans="4:4" x14ac:dyDescent="0.45">
      <c r="D10894" s="47"/>
    </row>
    <row r="10895" spans="4:4" x14ac:dyDescent="0.45">
      <c r="D10895" s="47"/>
    </row>
    <row r="10896" spans="4:4" x14ac:dyDescent="0.45">
      <c r="D10896" s="47"/>
    </row>
    <row r="10897" spans="4:4" x14ac:dyDescent="0.45">
      <c r="D10897" s="47"/>
    </row>
    <row r="10898" spans="4:4" x14ac:dyDescent="0.45">
      <c r="D10898" s="47"/>
    </row>
    <row r="10899" spans="4:4" x14ac:dyDescent="0.45">
      <c r="D10899" s="47"/>
    </row>
    <row r="10900" spans="4:4" x14ac:dyDescent="0.45">
      <c r="D10900" s="47"/>
    </row>
    <row r="10901" spans="4:4" x14ac:dyDescent="0.45">
      <c r="D10901" s="47"/>
    </row>
    <row r="10902" spans="4:4" x14ac:dyDescent="0.45">
      <c r="D10902" s="47"/>
    </row>
    <row r="10903" spans="4:4" x14ac:dyDescent="0.45">
      <c r="D10903" s="47"/>
    </row>
    <row r="10904" spans="4:4" x14ac:dyDescent="0.45">
      <c r="D10904" s="47"/>
    </row>
    <row r="10905" spans="4:4" x14ac:dyDescent="0.45">
      <c r="D10905" s="47"/>
    </row>
    <row r="10906" spans="4:4" x14ac:dyDescent="0.45">
      <c r="D10906" s="47"/>
    </row>
    <row r="10907" spans="4:4" x14ac:dyDescent="0.45">
      <c r="D10907" s="47"/>
    </row>
    <row r="10908" spans="4:4" x14ac:dyDescent="0.45">
      <c r="D10908" s="47"/>
    </row>
    <row r="10909" spans="4:4" x14ac:dyDescent="0.45">
      <c r="D10909" s="47"/>
    </row>
    <row r="10910" spans="4:4" x14ac:dyDescent="0.45">
      <c r="D10910" s="47"/>
    </row>
    <row r="10911" spans="4:4" x14ac:dyDescent="0.45">
      <c r="D10911" s="47"/>
    </row>
    <row r="10912" spans="4:4" x14ac:dyDescent="0.45">
      <c r="D10912" s="47"/>
    </row>
    <row r="10913" spans="4:4" x14ac:dyDescent="0.45">
      <c r="D10913" s="47"/>
    </row>
    <row r="10914" spans="4:4" x14ac:dyDescent="0.45">
      <c r="D10914" s="47"/>
    </row>
    <row r="10915" spans="4:4" x14ac:dyDescent="0.45">
      <c r="D10915" s="47"/>
    </row>
    <row r="10916" spans="4:4" x14ac:dyDescent="0.45">
      <c r="D10916" s="47"/>
    </row>
    <row r="10917" spans="4:4" x14ac:dyDescent="0.45">
      <c r="D10917" s="47"/>
    </row>
    <row r="10918" spans="4:4" x14ac:dyDescent="0.45">
      <c r="D10918" s="47"/>
    </row>
    <row r="10919" spans="4:4" x14ac:dyDescent="0.45">
      <c r="D10919" s="47"/>
    </row>
    <row r="10920" spans="4:4" x14ac:dyDescent="0.45">
      <c r="D10920" s="47"/>
    </row>
    <row r="10921" spans="4:4" x14ac:dyDescent="0.45">
      <c r="D10921" s="47"/>
    </row>
    <row r="10922" spans="4:4" x14ac:dyDescent="0.45">
      <c r="D10922" s="47"/>
    </row>
    <row r="10923" spans="4:4" x14ac:dyDescent="0.45">
      <c r="D10923" s="47"/>
    </row>
    <row r="10924" spans="4:4" x14ac:dyDescent="0.45">
      <c r="D10924" s="47"/>
    </row>
    <row r="10925" spans="4:4" x14ac:dyDescent="0.45">
      <c r="D10925" s="47"/>
    </row>
    <row r="10926" spans="4:4" x14ac:dyDescent="0.45">
      <c r="D10926" s="47"/>
    </row>
    <row r="10927" spans="4:4" x14ac:dyDescent="0.45">
      <c r="D10927" s="47"/>
    </row>
    <row r="10928" spans="4:4" x14ac:dyDescent="0.45">
      <c r="D10928" s="47"/>
    </row>
    <row r="10929" spans="4:4" x14ac:dyDescent="0.45">
      <c r="D10929" s="47"/>
    </row>
    <row r="10930" spans="4:4" x14ac:dyDescent="0.45">
      <c r="D10930" s="47"/>
    </row>
    <row r="10931" spans="4:4" x14ac:dyDescent="0.45">
      <c r="D10931" s="47"/>
    </row>
    <row r="10932" spans="4:4" x14ac:dyDescent="0.45">
      <c r="D10932" s="47"/>
    </row>
    <row r="10933" spans="4:4" x14ac:dyDescent="0.45">
      <c r="D10933" s="47"/>
    </row>
    <row r="10934" spans="4:4" x14ac:dyDescent="0.45">
      <c r="D10934" s="47"/>
    </row>
    <row r="10935" spans="4:4" x14ac:dyDescent="0.45">
      <c r="D10935" s="47"/>
    </row>
    <row r="10936" spans="4:4" x14ac:dyDescent="0.45">
      <c r="D10936" s="47"/>
    </row>
    <row r="10937" spans="4:4" x14ac:dyDescent="0.45">
      <c r="D10937" s="47"/>
    </row>
    <row r="10938" spans="4:4" x14ac:dyDescent="0.45">
      <c r="D10938" s="47"/>
    </row>
    <row r="10939" spans="4:4" x14ac:dyDescent="0.45">
      <c r="D10939" s="47"/>
    </row>
    <row r="10940" spans="4:4" x14ac:dyDescent="0.45">
      <c r="D10940" s="47"/>
    </row>
    <row r="10941" spans="4:4" x14ac:dyDescent="0.45">
      <c r="D10941" s="47"/>
    </row>
    <row r="10942" spans="4:4" x14ac:dyDescent="0.45">
      <c r="D10942" s="47"/>
    </row>
    <row r="10943" spans="4:4" x14ac:dyDescent="0.45">
      <c r="D10943" s="47"/>
    </row>
    <row r="10944" spans="4:4" x14ac:dyDescent="0.45">
      <c r="D10944" s="47"/>
    </row>
    <row r="10945" spans="4:4" x14ac:dyDescent="0.45">
      <c r="D10945" s="47"/>
    </row>
    <row r="10946" spans="4:4" x14ac:dyDescent="0.45">
      <c r="D10946" s="47"/>
    </row>
    <row r="10947" spans="4:4" x14ac:dyDescent="0.45">
      <c r="D10947" s="47"/>
    </row>
    <row r="10948" spans="4:4" x14ac:dyDescent="0.45">
      <c r="D10948" s="47"/>
    </row>
    <row r="10949" spans="4:4" x14ac:dyDescent="0.45">
      <c r="D10949" s="47"/>
    </row>
    <row r="10950" spans="4:4" x14ac:dyDescent="0.45">
      <c r="D10950" s="47"/>
    </row>
    <row r="10951" spans="4:4" x14ac:dyDescent="0.45">
      <c r="D10951" s="47"/>
    </row>
    <row r="10952" spans="4:4" x14ac:dyDescent="0.45">
      <c r="D10952" s="47"/>
    </row>
    <row r="10953" spans="4:4" x14ac:dyDescent="0.45">
      <c r="D10953" s="47"/>
    </row>
    <row r="10954" spans="4:4" x14ac:dyDescent="0.45">
      <c r="D10954" s="47"/>
    </row>
    <row r="10955" spans="4:4" x14ac:dyDescent="0.45">
      <c r="D10955" s="47"/>
    </row>
    <row r="10956" spans="4:4" x14ac:dyDescent="0.45">
      <c r="D10956" s="47"/>
    </row>
    <row r="10957" spans="4:4" x14ac:dyDescent="0.45">
      <c r="D10957" s="47"/>
    </row>
    <row r="10958" spans="4:4" x14ac:dyDescent="0.45">
      <c r="D10958" s="47"/>
    </row>
    <row r="10959" spans="4:4" x14ac:dyDescent="0.45">
      <c r="D10959" s="47"/>
    </row>
    <row r="10960" spans="4:4" x14ac:dyDescent="0.45">
      <c r="D10960" s="47"/>
    </row>
    <row r="10961" spans="4:4" x14ac:dyDescent="0.45">
      <c r="D10961" s="47"/>
    </row>
    <row r="10962" spans="4:4" x14ac:dyDescent="0.45">
      <c r="D10962" s="47"/>
    </row>
    <row r="10963" spans="4:4" x14ac:dyDescent="0.45">
      <c r="D10963" s="47"/>
    </row>
    <row r="10964" spans="4:4" x14ac:dyDescent="0.45">
      <c r="D10964" s="47"/>
    </row>
    <row r="10965" spans="4:4" x14ac:dyDescent="0.45">
      <c r="D10965" s="47"/>
    </row>
    <row r="10966" spans="4:4" x14ac:dyDescent="0.45">
      <c r="D10966" s="47"/>
    </row>
    <row r="10967" spans="4:4" x14ac:dyDescent="0.45">
      <c r="D10967" s="47"/>
    </row>
    <row r="10968" spans="4:4" x14ac:dyDescent="0.45">
      <c r="D10968" s="47"/>
    </row>
    <row r="10969" spans="4:4" x14ac:dyDescent="0.45">
      <c r="D10969" s="47"/>
    </row>
    <row r="10970" spans="4:4" x14ac:dyDescent="0.45">
      <c r="D10970" s="47"/>
    </row>
    <row r="10971" spans="4:4" x14ac:dyDescent="0.45">
      <c r="D10971" s="47"/>
    </row>
    <row r="10972" spans="4:4" x14ac:dyDescent="0.45">
      <c r="D10972" s="47"/>
    </row>
    <row r="10973" spans="4:4" x14ac:dyDescent="0.45">
      <c r="D10973" s="47"/>
    </row>
    <row r="10974" spans="4:4" x14ac:dyDescent="0.45">
      <c r="D10974" s="47"/>
    </row>
    <row r="10975" spans="4:4" x14ac:dyDescent="0.45">
      <c r="D10975" s="47"/>
    </row>
    <row r="10976" spans="4:4" x14ac:dyDescent="0.45">
      <c r="D10976" s="47"/>
    </row>
    <row r="10977" spans="4:4" x14ac:dyDescent="0.45">
      <c r="D10977" s="47"/>
    </row>
    <row r="10978" spans="4:4" x14ac:dyDescent="0.45">
      <c r="D10978" s="47"/>
    </row>
    <row r="10979" spans="4:4" x14ac:dyDescent="0.45">
      <c r="D10979" s="47"/>
    </row>
    <row r="10980" spans="4:4" x14ac:dyDescent="0.45">
      <c r="D10980" s="47"/>
    </row>
    <row r="10981" spans="4:4" x14ac:dyDescent="0.45">
      <c r="D10981" s="47"/>
    </row>
    <row r="10982" spans="4:4" x14ac:dyDescent="0.45">
      <c r="D10982" s="47"/>
    </row>
    <row r="10983" spans="4:4" x14ac:dyDescent="0.45">
      <c r="D10983" s="47"/>
    </row>
    <row r="10984" spans="4:4" x14ac:dyDescent="0.45">
      <c r="D10984" s="47"/>
    </row>
    <row r="10985" spans="4:4" x14ac:dyDescent="0.45">
      <c r="D10985" s="47"/>
    </row>
    <row r="10986" spans="4:4" x14ac:dyDescent="0.45">
      <c r="D10986" s="47"/>
    </row>
    <row r="10987" spans="4:4" x14ac:dyDescent="0.45">
      <c r="D10987" s="47"/>
    </row>
    <row r="10988" spans="4:4" x14ac:dyDescent="0.45">
      <c r="D10988" s="47"/>
    </row>
    <row r="10989" spans="4:4" x14ac:dyDescent="0.45">
      <c r="D10989" s="47"/>
    </row>
    <row r="10990" spans="4:4" x14ac:dyDescent="0.45">
      <c r="D10990" s="47"/>
    </row>
    <row r="10991" spans="4:4" x14ac:dyDescent="0.45">
      <c r="D10991" s="47"/>
    </row>
    <row r="10992" spans="4:4" x14ac:dyDescent="0.45">
      <c r="D10992" s="47"/>
    </row>
    <row r="10993" spans="4:4" x14ac:dyDescent="0.45">
      <c r="D10993" s="47"/>
    </row>
    <row r="10994" spans="4:4" x14ac:dyDescent="0.45">
      <c r="D10994" s="47"/>
    </row>
    <row r="10995" spans="4:4" x14ac:dyDescent="0.45">
      <c r="D10995" s="47"/>
    </row>
    <row r="10996" spans="4:4" x14ac:dyDescent="0.45">
      <c r="D10996" s="47"/>
    </row>
    <row r="10997" spans="4:4" x14ac:dyDescent="0.45">
      <c r="D10997" s="47"/>
    </row>
    <row r="10998" spans="4:4" x14ac:dyDescent="0.45">
      <c r="D10998" s="47"/>
    </row>
    <row r="10999" spans="4:4" x14ac:dyDescent="0.45">
      <c r="D10999" s="47"/>
    </row>
    <row r="11000" spans="4:4" x14ac:dyDescent="0.45">
      <c r="D11000" s="47"/>
    </row>
    <row r="11001" spans="4:4" x14ac:dyDescent="0.45">
      <c r="D11001" s="47"/>
    </row>
    <row r="11002" spans="4:4" x14ac:dyDescent="0.45">
      <c r="D11002" s="47"/>
    </row>
    <row r="11003" spans="4:4" x14ac:dyDescent="0.45">
      <c r="D11003" s="47"/>
    </row>
    <row r="11004" spans="4:4" x14ac:dyDescent="0.45">
      <c r="D11004" s="47"/>
    </row>
    <row r="11005" spans="4:4" x14ac:dyDescent="0.45">
      <c r="D11005" s="47"/>
    </row>
    <row r="11006" spans="4:4" x14ac:dyDescent="0.45">
      <c r="D11006" s="47"/>
    </row>
    <row r="11007" spans="4:4" x14ac:dyDescent="0.45">
      <c r="D11007" s="47"/>
    </row>
    <row r="11008" spans="4:4" x14ac:dyDescent="0.45">
      <c r="D11008" s="47"/>
    </row>
    <row r="11009" spans="4:4" x14ac:dyDescent="0.45">
      <c r="D11009" s="47"/>
    </row>
    <row r="11010" spans="4:4" x14ac:dyDescent="0.45">
      <c r="D11010" s="47"/>
    </row>
    <row r="11011" spans="4:4" x14ac:dyDescent="0.45">
      <c r="D11011" s="47"/>
    </row>
    <row r="11012" spans="4:4" x14ac:dyDescent="0.45">
      <c r="D11012" s="47"/>
    </row>
    <row r="11013" spans="4:4" x14ac:dyDescent="0.45">
      <c r="D11013" s="47"/>
    </row>
    <row r="11014" spans="4:4" x14ac:dyDescent="0.45">
      <c r="D11014" s="47"/>
    </row>
    <row r="11015" spans="4:4" x14ac:dyDescent="0.45">
      <c r="D11015" s="47"/>
    </row>
    <row r="11016" spans="4:4" x14ac:dyDescent="0.45">
      <c r="D11016" s="47"/>
    </row>
    <row r="11017" spans="4:4" x14ac:dyDescent="0.45">
      <c r="D11017" s="47"/>
    </row>
    <row r="11018" spans="4:4" x14ac:dyDescent="0.45">
      <c r="D11018" s="47"/>
    </row>
    <row r="11019" spans="4:4" x14ac:dyDescent="0.45">
      <c r="D11019" s="47"/>
    </row>
    <row r="11020" spans="4:4" x14ac:dyDescent="0.45">
      <c r="D11020" s="47"/>
    </row>
    <row r="11021" spans="4:4" x14ac:dyDescent="0.45">
      <c r="D11021" s="47"/>
    </row>
    <row r="11022" spans="4:4" x14ac:dyDescent="0.45">
      <c r="D11022" s="47"/>
    </row>
    <row r="11023" spans="4:4" x14ac:dyDescent="0.45">
      <c r="D11023" s="47"/>
    </row>
    <row r="11024" spans="4:4" x14ac:dyDescent="0.45">
      <c r="D11024" s="47"/>
    </row>
    <row r="11025" spans="4:4" x14ac:dyDescent="0.45">
      <c r="D11025" s="47"/>
    </row>
    <row r="11026" spans="4:4" x14ac:dyDescent="0.45">
      <c r="D11026" s="47"/>
    </row>
    <row r="11027" spans="4:4" x14ac:dyDescent="0.45">
      <c r="D11027" s="47"/>
    </row>
    <row r="11028" spans="4:4" x14ac:dyDescent="0.45">
      <c r="D11028" s="47"/>
    </row>
    <row r="11029" spans="4:4" x14ac:dyDescent="0.45">
      <c r="D11029" s="47"/>
    </row>
    <row r="11030" spans="4:4" x14ac:dyDescent="0.45">
      <c r="D11030" s="47"/>
    </row>
    <row r="11031" spans="4:4" x14ac:dyDescent="0.45">
      <c r="D11031" s="47"/>
    </row>
    <row r="11032" spans="4:4" x14ac:dyDescent="0.45">
      <c r="D11032" s="47"/>
    </row>
    <row r="11033" spans="4:4" x14ac:dyDescent="0.45">
      <c r="D11033" s="47"/>
    </row>
    <row r="11034" spans="4:4" x14ac:dyDescent="0.45">
      <c r="D11034" s="47"/>
    </row>
    <row r="11035" spans="4:4" x14ac:dyDescent="0.45">
      <c r="D11035" s="47"/>
    </row>
    <row r="11036" spans="4:4" x14ac:dyDescent="0.45">
      <c r="D11036" s="47"/>
    </row>
    <row r="11037" spans="4:4" x14ac:dyDescent="0.45">
      <c r="D11037" s="47"/>
    </row>
    <row r="11038" spans="4:4" x14ac:dyDescent="0.45">
      <c r="D11038" s="47"/>
    </row>
    <row r="11039" spans="4:4" x14ac:dyDescent="0.45">
      <c r="D11039" s="47"/>
    </row>
    <row r="11040" spans="4:4" x14ac:dyDescent="0.45">
      <c r="D11040" s="47"/>
    </row>
    <row r="11041" spans="4:4" x14ac:dyDescent="0.45">
      <c r="D11041" s="47"/>
    </row>
    <row r="11042" spans="4:4" x14ac:dyDescent="0.45">
      <c r="D11042" s="47"/>
    </row>
    <row r="11043" spans="4:4" x14ac:dyDescent="0.45">
      <c r="D11043" s="47"/>
    </row>
    <row r="11044" spans="4:4" x14ac:dyDescent="0.45">
      <c r="D11044" s="47"/>
    </row>
    <row r="11045" spans="4:4" x14ac:dyDescent="0.45">
      <c r="D11045" s="47"/>
    </row>
    <row r="11046" spans="4:4" x14ac:dyDescent="0.45">
      <c r="D11046" s="47"/>
    </row>
    <row r="11047" spans="4:4" x14ac:dyDescent="0.45">
      <c r="D11047" s="47"/>
    </row>
    <row r="11048" spans="4:4" x14ac:dyDescent="0.45">
      <c r="D11048" s="47"/>
    </row>
    <row r="11049" spans="4:4" x14ac:dyDescent="0.45">
      <c r="D11049" s="47"/>
    </row>
    <row r="11050" spans="4:4" x14ac:dyDescent="0.45">
      <c r="D11050" s="47"/>
    </row>
    <row r="11051" spans="4:4" x14ac:dyDescent="0.45">
      <c r="D11051" s="47"/>
    </row>
    <row r="11052" spans="4:4" x14ac:dyDescent="0.45">
      <c r="D11052" s="47"/>
    </row>
    <row r="11053" spans="4:4" x14ac:dyDescent="0.45">
      <c r="D11053" s="47"/>
    </row>
    <row r="11054" spans="4:4" x14ac:dyDescent="0.45">
      <c r="D11054" s="47"/>
    </row>
    <row r="11055" spans="4:4" x14ac:dyDescent="0.45">
      <c r="D11055" s="47"/>
    </row>
    <row r="11056" spans="4:4" x14ac:dyDescent="0.45">
      <c r="D11056" s="47"/>
    </row>
    <row r="11057" spans="4:4" x14ac:dyDescent="0.45">
      <c r="D11057" s="47"/>
    </row>
    <row r="11058" spans="4:4" x14ac:dyDescent="0.45">
      <c r="D11058" s="47"/>
    </row>
    <row r="11059" spans="4:4" x14ac:dyDescent="0.45">
      <c r="D11059" s="47"/>
    </row>
    <row r="11060" spans="4:4" x14ac:dyDescent="0.45">
      <c r="D11060" s="47"/>
    </row>
    <row r="11061" spans="4:4" x14ac:dyDescent="0.45">
      <c r="D11061" s="47"/>
    </row>
    <row r="11062" spans="4:4" x14ac:dyDescent="0.45">
      <c r="D11062" s="47"/>
    </row>
    <row r="11063" spans="4:4" x14ac:dyDescent="0.45">
      <c r="D11063" s="47"/>
    </row>
    <row r="11064" spans="4:4" x14ac:dyDescent="0.45">
      <c r="D11064" s="47"/>
    </row>
    <row r="11065" spans="4:4" x14ac:dyDescent="0.45">
      <c r="D11065" s="47"/>
    </row>
    <row r="11066" spans="4:4" x14ac:dyDescent="0.45">
      <c r="D11066" s="47"/>
    </row>
    <row r="11067" spans="4:4" x14ac:dyDescent="0.45">
      <c r="D11067" s="47"/>
    </row>
    <row r="11068" spans="4:4" x14ac:dyDescent="0.45">
      <c r="D11068" s="47"/>
    </row>
    <row r="11069" spans="4:4" x14ac:dyDescent="0.45">
      <c r="D11069" s="47"/>
    </row>
    <row r="11070" spans="4:4" x14ac:dyDescent="0.45">
      <c r="D11070" s="47"/>
    </row>
    <row r="11071" spans="4:4" x14ac:dyDescent="0.45">
      <c r="D11071" s="47"/>
    </row>
    <row r="11072" spans="4:4" x14ac:dyDescent="0.45">
      <c r="D11072" s="47"/>
    </row>
    <row r="11073" spans="4:4" x14ac:dyDescent="0.45">
      <c r="D11073" s="47"/>
    </row>
    <row r="11074" spans="4:4" x14ac:dyDescent="0.45">
      <c r="D11074" s="47"/>
    </row>
    <row r="11075" spans="4:4" x14ac:dyDescent="0.45">
      <c r="D11075" s="47"/>
    </row>
    <row r="11076" spans="4:4" x14ac:dyDescent="0.45">
      <c r="D11076" s="47"/>
    </row>
    <row r="11077" spans="4:4" x14ac:dyDescent="0.45">
      <c r="D11077" s="47"/>
    </row>
    <row r="11078" spans="4:4" x14ac:dyDescent="0.45">
      <c r="D11078" s="47"/>
    </row>
    <row r="11079" spans="4:4" x14ac:dyDescent="0.45">
      <c r="D11079" s="47"/>
    </row>
    <row r="11080" spans="4:4" x14ac:dyDescent="0.45">
      <c r="D11080" s="47"/>
    </row>
    <row r="11081" spans="4:4" x14ac:dyDescent="0.45">
      <c r="D11081" s="47"/>
    </row>
    <row r="11082" spans="4:4" x14ac:dyDescent="0.45">
      <c r="D11082" s="47"/>
    </row>
    <row r="11083" spans="4:4" x14ac:dyDescent="0.45">
      <c r="D11083" s="47"/>
    </row>
    <row r="11084" spans="4:4" x14ac:dyDescent="0.45">
      <c r="D11084" s="47"/>
    </row>
    <row r="11085" spans="4:4" x14ac:dyDescent="0.45">
      <c r="D11085" s="47"/>
    </row>
    <row r="11086" spans="4:4" x14ac:dyDescent="0.45">
      <c r="D11086" s="47"/>
    </row>
    <row r="11087" spans="4:4" x14ac:dyDescent="0.45">
      <c r="D11087" s="47"/>
    </row>
    <row r="11088" spans="4:4" x14ac:dyDescent="0.45">
      <c r="D11088" s="47"/>
    </row>
    <row r="11089" spans="4:4" x14ac:dyDescent="0.45">
      <c r="D11089" s="47"/>
    </row>
    <row r="11090" spans="4:4" x14ac:dyDescent="0.45">
      <c r="D11090" s="47"/>
    </row>
    <row r="11091" spans="4:4" x14ac:dyDescent="0.45">
      <c r="D11091" s="47"/>
    </row>
    <row r="11092" spans="4:4" x14ac:dyDescent="0.45">
      <c r="D11092" s="47"/>
    </row>
    <row r="11093" spans="4:4" x14ac:dyDescent="0.45">
      <c r="D11093" s="47"/>
    </row>
    <row r="11094" spans="4:4" x14ac:dyDescent="0.45">
      <c r="D11094" s="47"/>
    </row>
    <row r="11095" spans="4:4" x14ac:dyDescent="0.45">
      <c r="D11095" s="47"/>
    </row>
    <row r="11096" spans="4:4" x14ac:dyDescent="0.45">
      <c r="D11096" s="47"/>
    </row>
    <row r="11097" spans="4:4" x14ac:dyDescent="0.45">
      <c r="D11097" s="47"/>
    </row>
    <row r="11098" spans="4:4" x14ac:dyDescent="0.45">
      <c r="D11098" s="47"/>
    </row>
    <row r="11099" spans="4:4" x14ac:dyDescent="0.45">
      <c r="D11099" s="47"/>
    </row>
    <row r="11100" spans="4:4" x14ac:dyDescent="0.45">
      <c r="D11100" s="47"/>
    </row>
    <row r="11101" spans="4:4" x14ac:dyDescent="0.45">
      <c r="D11101" s="47"/>
    </row>
    <row r="11102" spans="4:4" x14ac:dyDescent="0.45">
      <c r="D11102" s="47"/>
    </row>
    <row r="11103" spans="4:4" x14ac:dyDescent="0.45">
      <c r="D11103" s="47"/>
    </row>
    <row r="11104" spans="4:4" x14ac:dyDescent="0.45">
      <c r="D11104" s="47"/>
    </row>
    <row r="11105" spans="4:4" x14ac:dyDescent="0.45">
      <c r="D11105" s="47"/>
    </row>
    <row r="11106" spans="4:4" x14ac:dyDescent="0.45">
      <c r="D11106" s="47"/>
    </row>
    <row r="11107" spans="4:4" x14ac:dyDescent="0.45">
      <c r="D11107" s="47"/>
    </row>
    <row r="11108" spans="4:4" x14ac:dyDescent="0.45">
      <c r="D11108" s="47"/>
    </row>
    <row r="11109" spans="4:4" x14ac:dyDescent="0.45">
      <c r="D11109" s="47"/>
    </row>
    <row r="11110" spans="4:4" x14ac:dyDescent="0.45">
      <c r="D11110" s="47"/>
    </row>
    <row r="11111" spans="4:4" x14ac:dyDescent="0.45">
      <c r="D11111" s="47"/>
    </row>
    <row r="11112" spans="4:4" x14ac:dyDescent="0.45">
      <c r="D11112" s="47"/>
    </row>
    <row r="11113" spans="4:4" x14ac:dyDescent="0.45">
      <c r="D11113" s="47"/>
    </row>
    <row r="11114" spans="4:4" x14ac:dyDescent="0.45">
      <c r="D11114" s="47"/>
    </row>
    <row r="11115" spans="4:4" x14ac:dyDescent="0.45">
      <c r="D11115" s="47"/>
    </row>
    <row r="11116" spans="4:4" x14ac:dyDescent="0.45">
      <c r="D11116" s="47"/>
    </row>
    <row r="11117" spans="4:4" x14ac:dyDescent="0.45">
      <c r="D11117" s="47"/>
    </row>
    <row r="11118" spans="4:4" x14ac:dyDescent="0.45">
      <c r="D11118" s="47"/>
    </row>
    <row r="11119" spans="4:4" x14ac:dyDescent="0.45">
      <c r="D11119" s="47"/>
    </row>
    <row r="11120" spans="4:4" x14ac:dyDescent="0.45">
      <c r="D11120" s="47"/>
    </row>
    <row r="11121" spans="4:4" x14ac:dyDescent="0.45">
      <c r="D11121" s="47"/>
    </row>
    <row r="11122" spans="4:4" x14ac:dyDescent="0.45">
      <c r="D11122" s="47"/>
    </row>
    <row r="11123" spans="4:4" x14ac:dyDescent="0.45">
      <c r="D11123" s="47"/>
    </row>
    <row r="11124" spans="4:4" x14ac:dyDescent="0.45">
      <c r="D11124" s="47"/>
    </row>
    <row r="11125" spans="4:4" x14ac:dyDescent="0.45">
      <c r="D11125" s="47"/>
    </row>
    <row r="11126" spans="4:4" x14ac:dyDescent="0.45">
      <c r="D11126" s="47"/>
    </row>
    <row r="11127" spans="4:4" x14ac:dyDescent="0.45">
      <c r="D11127" s="47"/>
    </row>
    <row r="11128" spans="4:4" x14ac:dyDescent="0.45">
      <c r="D11128" s="47"/>
    </row>
    <row r="11129" spans="4:4" x14ac:dyDescent="0.45">
      <c r="D11129" s="47"/>
    </row>
    <row r="11130" spans="4:4" x14ac:dyDescent="0.45">
      <c r="D11130" s="47"/>
    </row>
    <row r="11131" spans="4:4" x14ac:dyDescent="0.45">
      <c r="D11131" s="47"/>
    </row>
    <row r="11132" spans="4:4" x14ac:dyDescent="0.45">
      <c r="D11132" s="47"/>
    </row>
    <row r="11133" spans="4:4" x14ac:dyDescent="0.45">
      <c r="D11133" s="47"/>
    </row>
    <row r="11134" spans="4:4" x14ac:dyDescent="0.45">
      <c r="D11134" s="47"/>
    </row>
    <row r="11135" spans="4:4" x14ac:dyDescent="0.45">
      <c r="D11135" s="47"/>
    </row>
    <row r="11136" spans="4:4" x14ac:dyDescent="0.45">
      <c r="D11136" s="47"/>
    </row>
    <row r="11137" spans="4:4" x14ac:dyDescent="0.45">
      <c r="D11137" s="47"/>
    </row>
    <row r="11138" spans="4:4" x14ac:dyDescent="0.45">
      <c r="D11138" s="47"/>
    </row>
    <row r="11139" spans="4:4" x14ac:dyDescent="0.45">
      <c r="D11139" s="47"/>
    </row>
    <row r="11140" spans="4:4" x14ac:dyDescent="0.45">
      <c r="D11140" s="47"/>
    </row>
    <row r="11141" spans="4:4" x14ac:dyDescent="0.45">
      <c r="D11141" s="47"/>
    </row>
    <row r="11142" spans="4:4" x14ac:dyDescent="0.45">
      <c r="D11142" s="47"/>
    </row>
    <row r="11143" spans="4:4" x14ac:dyDescent="0.45">
      <c r="D11143" s="47"/>
    </row>
    <row r="11144" spans="4:4" x14ac:dyDescent="0.45">
      <c r="D11144" s="47"/>
    </row>
    <row r="11145" spans="4:4" x14ac:dyDescent="0.45">
      <c r="D11145" s="47"/>
    </row>
    <row r="11146" spans="4:4" x14ac:dyDescent="0.45">
      <c r="D11146" s="47"/>
    </row>
    <row r="11147" spans="4:4" x14ac:dyDescent="0.45">
      <c r="D11147" s="47"/>
    </row>
    <row r="11148" spans="4:4" x14ac:dyDescent="0.45">
      <c r="D11148" s="47"/>
    </row>
    <row r="11149" spans="4:4" x14ac:dyDescent="0.45">
      <c r="D11149" s="47"/>
    </row>
    <row r="11150" spans="4:4" x14ac:dyDescent="0.45">
      <c r="D11150" s="47"/>
    </row>
    <row r="11151" spans="4:4" x14ac:dyDescent="0.45">
      <c r="D11151" s="47"/>
    </row>
    <row r="11152" spans="4:4" x14ac:dyDescent="0.45">
      <c r="D11152" s="47"/>
    </row>
    <row r="11153" spans="4:4" x14ac:dyDescent="0.45">
      <c r="D11153" s="47"/>
    </row>
    <row r="11154" spans="4:4" x14ac:dyDescent="0.45">
      <c r="D11154" s="47"/>
    </row>
    <row r="11155" spans="4:4" x14ac:dyDescent="0.45">
      <c r="D11155" s="47"/>
    </row>
    <row r="11156" spans="4:4" x14ac:dyDescent="0.45">
      <c r="D11156" s="47"/>
    </row>
    <row r="11157" spans="4:4" x14ac:dyDescent="0.45">
      <c r="D11157" s="47"/>
    </row>
    <row r="11158" spans="4:4" x14ac:dyDescent="0.45">
      <c r="D11158" s="47"/>
    </row>
    <row r="11159" spans="4:4" x14ac:dyDescent="0.45">
      <c r="D11159" s="47"/>
    </row>
    <row r="11160" spans="4:4" x14ac:dyDescent="0.45">
      <c r="D11160" s="47"/>
    </row>
    <row r="11161" spans="4:4" x14ac:dyDescent="0.45">
      <c r="D11161" s="47"/>
    </row>
    <row r="11162" spans="4:4" x14ac:dyDescent="0.45">
      <c r="D11162" s="47"/>
    </row>
    <row r="11163" spans="4:4" x14ac:dyDescent="0.45">
      <c r="D11163" s="47"/>
    </row>
    <row r="11164" spans="4:4" x14ac:dyDescent="0.45">
      <c r="D11164" s="47"/>
    </row>
    <row r="11165" spans="4:4" x14ac:dyDescent="0.45">
      <c r="D11165" s="47"/>
    </row>
    <row r="11166" spans="4:4" x14ac:dyDescent="0.45">
      <c r="D11166" s="47"/>
    </row>
    <row r="11167" spans="4:4" x14ac:dyDescent="0.45">
      <c r="D11167" s="47"/>
    </row>
    <row r="11168" spans="4:4" x14ac:dyDescent="0.45">
      <c r="D11168" s="47"/>
    </row>
    <row r="11169" spans="4:4" x14ac:dyDescent="0.45">
      <c r="D11169" s="47"/>
    </row>
    <row r="11170" spans="4:4" x14ac:dyDescent="0.45">
      <c r="D11170" s="47"/>
    </row>
    <row r="11171" spans="4:4" x14ac:dyDescent="0.45">
      <c r="D11171" s="47"/>
    </row>
    <row r="11172" spans="4:4" x14ac:dyDescent="0.45">
      <c r="D11172" s="47"/>
    </row>
    <row r="11173" spans="4:4" x14ac:dyDescent="0.45">
      <c r="D11173" s="47"/>
    </row>
    <row r="11174" spans="4:4" x14ac:dyDescent="0.45">
      <c r="D11174" s="47"/>
    </row>
    <row r="11175" spans="4:4" x14ac:dyDescent="0.45">
      <c r="D11175" s="47"/>
    </row>
    <row r="11176" spans="4:4" x14ac:dyDescent="0.45">
      <c r="D11176" s="47"/>
    </row>
    <row r="11177" spans="4:4" x14ac:dyDescent="0.45">
      <c r="D11177" s="47"/>
    </row>
    <row r="11178" spans="4:4" x14ac:dyDescent="0.45">
      <c r="D11178" s="47"/>
    </row>
    <row r="11179" spans="4:4" x14ac:dyDescent="0.45">
      <c r="D11179" s="47"/>
    </row>
    <row r="11180" spans="4:4" x14ac:dyDescent="0.45">
      <c r="D11180" s="47"/>
    </row>
    <row r="11181" spans="4:4" x14ac:dyDescent="0.45">
      <c r="D11181" s="47"/>
    </row>
    <row r="11182" spans="4:4" x14ac:dyDescent="0.45">
      <c r="D11182" s="47"/>
    </row>
    <row r="11183" spans="4:4" x14ac:dyDescent="0.45">
      <c r="D11183" s="47"/>
    </row>
    <row r="11184" spans="4:4" x14ac:dyDescent="0.45">
      <c r="D11184" s="47"/>
    </row>
    <row r="11185" spans="4:4" x14ac:dyDescent="0.45">
      <c r="D11185" s="47"/>
    </row>
    <row r="11186" spans="4:4" x14ac:dyDescent="0.45">
      <c r="D11186" s="47"/>
    </row>
    <row r="11187" spans="4:4" x14ac:dyDescent="0.45">
      <c r="D11187" s="47"/>
    </row>
    <row r="11188" spans="4:4" x14ac:dyDescent="0.45">
      <c r="D11188" s="47"/>
    </row>
    <row r="11189" spans="4:4" x14ac:dyDescent="0.45">
      <c r="D11189" s="47"/>
    </row>
    <row r="11190" spans="4:4" x14ac:dyDescent="0.45">
      <c r="D11190" s="47"/>
    </row>
    <row r="11191" spans="4:4" x14ac:dyDescent="0.45">
      <c r="D11191" s="47"/>
    </row>
    <row r="11192" spans="4:4" x14ac:dyDescent="0.45">
      <c r="D11192" s="47"/>
    </row>
    <row r="11193" spans="4:4" x14ac:dyDescent="0.45">
      <c r="D11193" s="47"/>
    </row>
    <row r="11194" spans="4:4" x14ac:dyDescent="0.45">
      <c r="D11194" s="47"/>
    </row>
    <row r="11195" spans="4:4" x14ac:dyDescent="0.45">
      <c r="D11195" s="47"/>
    </row>
    <row r="11196" spans="4:4" x14ac:dyDescent="0.45">
      <c r="D11196" s="47"/>
    </row>
    <row r="11197" spans="4:4" x14ac:dyDescent="0.45">
      <c r="D11197" s="47"/>
    </row>
    <row r="11198" spans="4:4" x14ac:dyDescent="0.45">
      <c r="D11198" s="47"/>
    </row>
    <row r="11199" spans="4:4" x14ac:dyDescent="0.45">
      <c r="D11199" s="47"/>
    </row>
    <row r="11200" spans="4:4" x14ac:dyDescent="0.45">
      <c r="D11200" s="47"/>
    </row>
    <row r="11201" spans="4:4" x14ac:dyDescent="0.45">
      <c r="D11201" s="47"/>
    </row>
    <row r="11202" spans="4:4" x14ac:dyDescent="0.45">
      <c r="D11202" s="47"/>
    </row>
    <row r="11203" spans="4:4" x14ac:dyDescent="0.45">
      <c r="D11203" s="47"/>
    </row>
    <row r="11204" spans="4:4" x14ac:dyDescent="0.45">
      <c r="D11204" s="47"/>
    </row>
    <row r="11205" spans="4:4" x14ac:dyDescent="0.45">
      <c r="D11205" s="47"/>
    </row>
    <row r="11206" spans="4:4" x14ac:dyDescent="0.45">
      <c r="D11206" s="47"/>
    </row>
    <row r="11207" spans="4:4" x14ac:dyDescent="0.45">
      <c r="D11207" s="47"/>
    </row>
    <row r="11208" spans="4:4" x14ac:dyDescent="0.45">
      <c r="D11208" s="47"/>
    </row>
    <row r="11209" spans="4:4" x14ac:dyDescent="0.45">
      <c r="D11209" s="47"/>
    </row>
    <row r="11210" spans="4:4" x14ac:dyDescent="0.45">
      <c r="D11210" s="47"/>
    </row>
    <row r="11211" spans="4:4" x14ac:dyDescent="0.45">
      <c r="D11211" s="47"/>
    </row>
    <row r="11212" spans="4:4" x14ac:dyDescent="0.45">
      <c r="D11212" s="47"/>
    </row>
    <row r="11213" spans="4:4" x14ac:dyDescent="0.45">
      <c r="D11213" s="47"/>
    </row>
    <row r="11214" spans="4:4" x14ac:dyDescent="0.45">
      <c r="D11214" s="47"/>
    </row>
    <row r="11215" spans="4:4" x14ac:dyDescent="0.45">
      <c r="D11215" s="47"/>
    </row>
    <row r="11216" spans="4:4" x14ac:dyDescent="0.45">
      <c r="D11216" s="47"/>
    </row>
    <row r="11217" spans="4:4" x14ac:dyDescent="0.45">
      <c r="D11217" s="47"/>
    </row>
    <row r="11218" spans="4:4" x14ac:dyDescent="0.45">
      <c r="D11218" s="47"/>
    </row>
    <row r="11219" spans="4:4" x14ac:dyDescent="0.45">
      <c r="D11219" s="47"/>
    </row>
    <row r="11220" spans="4:4" x14ac:dyDescent="0.45">
      <c r="D11220" s="47"/>
    </row>
    <row r="11221" spans="4:4" x14ac:dyDescent="0.45">
      <c r="D11221" s="47"/>
    </row>
    <row r="11222" spans="4:4" x14ac:dyDescent="0.45">
      <c r="D11222" s="47"/>
    </row>
    <row r="11223" spans="4:4" x14ac:dyDescent="0.45">
      <c r="D11223" s="47"/>
    </row>
    <row r="11224" spans="4:4" x14ac:dyDescent="0.45">
      <c r="D11224" s="47"/>
    </row>
    <row r="11225" spans="4:4" x14ac:dyDescent="0.45">
      <c r="D11225" s="47"/>
    </row>
    <row r="11226" spans="4:4" x14ac:dyDescent="0.45">
      <c r="D11226" s="47"/>
    </row>
    <row r="11227" spans="4:4" x14ac:dyDescent="0.45">
      <c r="D11227" s="47"/>
    </row>
    <row r="11228" spans="4:4" x14ac:dyDescent="0.45">
      <c r="D11228" s="47"/>
    </row>
    <row r="11229" spans="4:4" x14ac:dyDescent="0.45">
      <c r="D11229" s="47"/>
    </row>
    <row r="11230" spans="4:4" x14ac:dyDescent="0.45">
      <c r="D11230" s="47"/>
    </row>
    <row r="11231" spans="4:4" x14ac:dyDescent="0.45">
      <c r="D11231" s="47"/>
    </row>
    <row r="11232" spans="4:4" x14ac:dyDescent="0.45">
      <c r="D11232" s="47"/>
    </row>
    <row r="11233" spans="4:4" x14ac:dyDescent="0.45">
      <c r="D11233" s="47"/>
    </row>
    <row r="11234" spans="4:4" x14ac:dyDescent="0.45">
      <c r="D11234" s="47"/>
    </row>
    <row r="11235" spans="4:4" x14ac:dyDescent="0.45">
      <c r="D11235" s="47"/>
    </row>
    <row r="11236" spans="4:4" x14ac:dyDescent="0.45">
      <c r="D11236" s="47"/>
    </row>
    <row r="11237" spans="4:4" x14ac:dyDescent="0.45">
      <c r="D11237" s="47"/>
    </row>
    <row r="11238" spans="4:4" x14ac:dyDescent="0.45">
      <c r="D11238" s="47"/>
    </row>
    <row r="11239" spans="4:4" x14ac:dyDescent="0.45">
      <c r="D11239" s="47"/>
    </row>
    <row r="11240" spans="4:4" x14ac:dyDescent="0.45">
      <c r="D11240" s="47"/>
    </row>
    <row r="11241" spans="4:4" x14ac:dyDescent="0.45">
      <c r="D11241" s="47"/>
    </row>
    <row r="11242" spans="4:4" x14ac:dyDescent="0.45">
      <c r="D11242" s="47"/>
    </row>
    <row r="11243" spans="4:4" x14ac:dyDescent="0.45">
      <c r="D11243" s="47"/>
    </row>
    <row r="11244" spans="4:4" x14ac:dyDescent="0.45">
      <c r="D11244" s="47"/>
    </row>
    <row r="11245" spans="4:4" x14ac:dyDescent="0.45">
      <c r="D11245" s="47"/>
    </row>
    <row r="11246" spans="4:4" x14ac:dyDescent="0.45">
      <c r="D11246" s="47"/>
    </row>
    <row r="11247" spans="4:4" x14ac:dyDescent="0.45">
      <c r="D11247" s="47"/>
    </row>
    <row r="11248" spans="4:4" x14ac:dyDescent="0.45">
      <c r="D11248" s="47"/>
    </row>
    <row r="11249" spans="4:4" x14ac:dyDescent="0.45">
      <c r="D11249" s="47"/>
    </row>
    <row r="11250" spans="4:4" x14ac:dyDescent="0.45">
      <c r="D11250" s="47"/>
    </row>
    <row r="11251" spans="4:4" x14ac:dyDescent="0.45">
      <c r="D11251" s="47"/>
    </row>
    <row r="11252" spans="4:4" x14ac:dyDescent="0.45">
      <c r="D11252" s="47"/>
    </row>
    <row r="11253" spans="4:4" x14ac:dyDescent="0.45">
      <c r="D11253" s="47"/>
    </row>
    <row r="11254" spans="4:4" x14ac:dyDescent="0.45">
      <c r="D11254" s="47"/>
    </row>
    <row r="11255" spans="4:4" x14ac:dyDescent="0.45">
      <c r="D11255" s="47"/>
    </row>
    <row r="11256" spans="4:4" x14ac:dyDescent="0.45">
      <c r="D11256" s="47"/>
    </row>
    <row r="11257" spans="4:4" x14ac:dyDescent="0.45">
      <c r="D11257" s="47"/>
    </row>
    <row r="11258" spans="4:4" x14ac:dyDescent="0.45">
      <c r="D11258" s="47"/>
    </row>
    <row r="11259" spans="4:4" x14ac:dyDescent="0.45">
      <c r="D11259" s="47"/>
    </row>
    <row r="11260" spans="4:4" x14ac:dyDescent="0.45">
      <c r="D11260" s="47"/>
    </row>
    <row r="11261" spans="4:4" x14ac:dyDescent="0.45">
      <c r="D11261" s="47"/>
    </row>
    <row r="11262" spans="4:4" x14ac:dyDescent="0.45">
      <c r="D11262" s="47"/>
    </row>
    <row r="11263" spans="4:4" x14ac:dyDescent="0.45">
      <c r="D11263" s="47"/>
    </row>
    <row r="11264" spans="4:4" x14ac:dyDescent="0.45">
      <c r="D11264" s="47"/>
    </row>
    <row r="11265" spans="4:4" x14ac:dyDescent="0.45">
      <c r="D11265" s="47"/>
    </row>
    <row r="11266" spans="4:4" x14ac:dyDescent="0.45">
      <c r="D11266" s="47"/>
    </row>
    <row r="11267" spans="4:4" x14ac:dyDescent="0.45">
      <c r="D11267" s="47"/>
    </row>
    <row r="11268" spans="4:4" x14ac:dyDescent="0.45">
      <c r="D11268" s="47"/>
    </row>
    <row r="11269" spans="4:4" x14ac:dyDescent="0.45">
      <c r="D11269" s="47"/>
    </row>
    <row r="11270" spans="4:4" x14ac:dyDescent="0.45">
      <c r="D11270" s="47"/>
    </row>
    <row r="11271" spans="4:4" x14ac:dyDescent="0.45">
      <c r="D11271" s="47"/>
    </row>
    <row r="11272" spans="4:4" x14ac:dyDescent="0.45">
      <c r="D11272" s="47"/>
    </row>
    <row r="11273" spans="4:4" x14ac:dyDescent="0.45">
      <c r="D11273" s="47"/>
    </row>
    <row r="11274" spans="4:4" x14ac:dyDescent="0.45">
      <c r="D11274" s="47"/>
    </row>
    <row r="11275" spans="4:4" x14ac:dyDescent="0.45">
      <c r="D11275" s="47"/>
    </row>
    <row r="11276" spans="4:4" x14ac:dyDescent="0.45">
      <c r="D11276" s="47"/>
    </row>
    <row r="11277" spans="4:4" x14ac:dyDescent="0.45">
      <c r="D11277" s="47"/>
    </row>
    <row r="11278" spans="4:4" x14ac:dyDescent="0.45">
      <c r="D11278" s="47"/>
    </row>
    <row r="11279" spans="4:4" x14ac:dyDescent="0.45">
      <c r="D11279" s="47"/>
    </row>
    <row r="11280" spans="4:4" x14ac:dyDescent="0.45">
      <c r="D11280" s="47"/>
    </row>
    <row r="11281" spans="4:4" x14ac:dyDescent="0.45">
      <c r="D11281" s="47"/>
    </row>
    <row r="11282" spans="4:4" x14ac:dyDescent="0.45">
      <c r="D11282" s="47"/>
    </row>
    <row r="11283" spans="4:4" x14ac:dyDescent="0.45">
      <c r="D11283" s="47"/>
    </row>
    <row r="11284" spans="4:4" x14ac:dyDescent="0.45">
      <c r="D11284" s="47"/>
    </row>
    <row r="11285" spans="4:4" x14ac:dyDescent="0.45">
      <c r="D11285" s="47"/>
    </row>
    <row r="11286" spans="4:4" x14ac:dyDescent="0.45">
      <c r="D11286" s="47"/>
    </row>
    <row r="11287" spans="4:4" x14ac:dyDescent="0.45">
      <c r="D11287" s="47"/>
    </row>
    <row r="11288" spans="4:4" x14ac:dyDescent="0.45">
      <c r="D11288" s="47"/>
    </row>
    <row r="11289" spans="4:4" x14ac:dyDescent="0.45">
      <c r="D11289" s="47"/>
    </row>
    <row r="11290" spans="4:4" x14ac:dyDescent="0.45">
      <c r="D11290" s="47"/>
    </row>
    <row r="11291" spans="4:4" x14ac:dyDescent="0.45">
      <c r="D11291" s="47"/>
    </row>
    <row r="11292" spans="4:4" x14ac:dyDescent="0.45">
      <c r="D11292" s="47"/>
    </row>
    <row r="11293" spans="4:4" x14ac:dyDescent="0.45">
      <c r="D11293" s="47"/>
    </row>
    <row r="11294" spans="4:4" x14ac:dyDescent="0.45">
      <c r="D11294" s="47"/>
    </row>
    <row r="11295" spans="4:4" x14ac:dyDescent="0.45">
      <c r="D11295" s="47"/>
    </row>
    <row r="11296" spans="4:4" x14ac:dyDescent="0.45">
      <c r="D11296" s="47"/>
    </row>
    <row r="11297" spans="4:4" x14ac:dyDescent="0.45">
      <c r="D11297" s="47"/>
    </row>
    <row r="11298" spans="4:4" x14ac:dyDescent="0.45">
      <c r="D11298" s="47"/>
    </row>
    <row r="11299" spans="4:4" x14ac:dyDescent="0.45">
      <c r="D11299" s="47"/>
    </row>
    <row r="11300" spans="4:4" x14ac:dyDescent="0.45">
      <c r="D11300" s="47"/>
    </row>
    <row r="11301" spans="4:4" x14ac:dyDescent="0.45">
      <c r="D11301" s="47"/>
    </row>
    <row r="11302" spans="4:4" x14ac:dyDescent="0.45">
      <c r="D11302" s="47"/>
    </row>
    <row r="11303" spans="4:4" x14ac:dyDescent="0.45">
      <c r="D11303" s="47"/>
    </row>
    <row r="11304" spans="4:4" x14ac:dyDescent="0.45">
      <c r="D11304" s="47"/>
    </row>
    <row r="11305" spans="4:4" x14ac:dyDescent="0.45">
      <c r="D11305" s="47"/>
    </row>
    <row r="11306" spans="4:4" x14ac:dyDescent="0.45">
      <c r="D11306" s="47"/>
    </row>
    <row r="11307" spans="4:4" x14ac:dyDescent="0.45">
      <c r="D11307" s="47"/>
    </row>
    <row r="11308" spans="4:4" x14ac:dyDescent="0.45">
      <c r="D11308" s="47"/>
    </row>
    <row r="11309" spans="4:4" x14ac:dyDescent="0.45">
      <c r="D11309" s="47"/>
    </row>
    <row r="11310" spans="4:4" x14ac:dyDescent="0.45">
      <c r="D11310" s="47"/>
    </row>
    <row r="11311" spans="4:4" x14ac:dyDescent="0.45">
      <c r="D11311" s="47"/>
    </row>
    <row r="11312" spans="4:4" x14ac:dyDescent="0.45">
      <c r="D11312" s="47"/>
    </row>
    <row r="11313" spans="4:4" x14ac:dyDescent="0.45">
      <c r="D11313" s="47"/>
    </row>
    <row r="11314" spans="4:4" x14ac:dyDescent="0.45">
      <c r="D11314" s="47"/>
    </row>
    <row r="11315" spans="4:4" x14ac:dyDescent="0.45">
      <c r="D11315" s="47"/>
    </row>
    <row r="11316" spans="4:4" x14ac:dyDescent="0.45">
      <c r="D11316" s="47"/>
    </row>
    <row r="11317" spans="4:4" x14ac:dyDescent="0.45">
      <c r="D11317" s="47"/>
    </row>
    <row r="11318" spans="4:4" x14ac:dyDescent="0.45">
      <c r="D11318" s="47"/>
    </row>
    <row r="11319" spans="4:4" x14ac:dyDescent="0.45">
      <c r="D11319" s="47"/>
    </row>
    <row r="11320" spans="4:4" x14ac:dyDescent="0.45">
      <c r="D11320" s="47"/>
    </row>
    <row r="11321" spans="4:4" x14ac:dyDescent="0.45">
      <c r="D11321" s="47"/>
    </row>
    <row r="11322" spans="4:4" x14ac:dyDescent="0.45">
      <c r="D11322" s="47"/>
    </row>
    <row r="11323" spans="4:4" x14ac:dyDescent="0.45">
      <c r="D11323" s="47"/>
    </row>
    <row r="11324" spans="4:4" x14ac:dyDescent="0.45">
      <c r="D11324" s="47"/>
    </row>
    <row r="11325" spans="4:4" x14ac:dyDescent="0.45">
      <c r="D11325" s="47"/>
    </row>
    <row r="11326" spans="4:4" x14ac:dyDescent="0.45">
      <c r="D11326" s="47"/>
    </row>
    <row r="11327" spans="4:4" x14ac:dyDescent="0.45">
      <c r="D11327" s="47"/>
    </row>
    <row r="11328" spans="4:4" x14ac:dyDescent="0.45">
      <c r="D11328" s="47"/>
    </row>
    <row r="11329" spans="4:4" x14ac:dyDescent="0.45">
      <c r="D11329" s="47"/>
    </row>
    <row r="11330" spans="4:4" x14ac:dyDescent="0.45">
      <c r="D11330" s="47"/>
    </row>
    <row r="11331" spans="4:4" x14ac:dyDescent="0.45">
      <c r="D11331" s="47"/>
    </row>
    <row r="11332" spans="4:4" x14ac:dyDescent="0.45">
      <c r="D11332" s="47"/>
    </row>
    <row r="11333" spans="4:4" x14ac:dyDescent="0.45">
      <c r="D11333" s="47"/>
    </row>
    <row r="11334" spans="4:4" x14ac:dyDescent="0.45">
      <c r="D11334" s="47"/>
    </row>
    <row r="11335" spans="4:4" x14ac:dyDescent="0.45">
      <c r="D11335" s="47"/>
    </row>
    <row r="11336" spans="4:4" x14ac:dyDescent="0.45">
      <c r="D11336" s="47"/>
    </row>
    <row r="11337" spans="4:4" x14ac:dyDescent="0.45">
      <c r="D11337" s="47"/>
    </row>
    <row r="11338" spans="4:4" x14ac:dyDescent="0.45">
      <c r="D11338" s="47"/>
    </row>
    <row r="11339" spans="4:4" x14ac:dyDescent="0.45">
      <c r="D11339" s="47"/>
    </row>
    <row r="11340" spans="4:4" x14ac:dyDescent="0.45">
      <c r="D11340" s="47"/>
    </row>
    <row r="11341" spans="4:4" x14ac:dyDescent="0.45">
      <c r="D11341" s="47"/>
    </row>
    <row r="11342" spans="4:4" x14ac:dyDescent="0.45">
      <c r="D11342" s="47"/>
    </row>
    <row r="11343" spans="4:4" x14ac:dyDescent="0.45">
      <c r="D11343" s="47"/>
    </row>
    <row r="11344" spans="4:4" x14ac:dyDescent="0.45">
      <c r="D11344" s="47"/>
    </row>
    <row r="11345" spans="4:4" x14ac:dyDescent="0.45">
      <c r="D11345" s="47"/>
    </row>
    <row r="11346" spans="4:4" x14ac:dyDescent="0.45">
      <c r="D11346" s="47"/>
    </row>
    <row r="11347" spans="4:4" x14ac:dyDescent="0.45">
      <c r="D11347" s="47"/>
    </row>
    <row r="11348" spans="4:4" x14ac:dyDescent="0.45">
      <c r="D11348" s="47"/>
    </row>
    <row r="11349" spans="4:4" x14ac:dyDescent="0.45">
      <c r="D11349" s="47"/>
    </row>
    <row r="11350" spans="4:4" x14ac:dyDescent="0.45">
      <c r="D11350" s="47"/>
    </row>
    <row r="11351" spans="4:4" x14ac:dyDescent="0.45">
      <c r="D11351" s="47"/>
    </row>
    <row r="11352" spans="4:4" x14ac:dyDescent="0.45">
      <c r="D11352" s="47"/>
    </row>
    <row r="11353" spans="4:4" x14ac:dyDescent="0.45">
      <c r="D11353" s="47"/>
    </row>
    <row r="11354" spans="4:4" x14ac:dyDescent="0.45">
      <c r="D11354" s="47"/>
    </row>
    <row r="11355" spans="4:4" x14ac:dyDescent="0.45">
      <c r="D11355" s="47"/>
    </row>
    <row r="11356" spans="4:4" x14ac:dyDescent="0.45">
      <c r="D11356" s="47"/>
    </row>
    <row r="11357" spans="4:4" x14ac:dyDescent="0.45">
      <c r="D11357" s="47"/>
    </row>
    <row r="11358" spans="4:4" x14ac:dyDescent="0.45">
      <c r="D11358" s="47"/>
    </row>
    <row r="11359" spans="4:4" x14ac:dyDescent="0.45">
      <c r="D11359" s="47"/>
    </row>
    <row r="11360" spans="4:4" x14ac:dyDescent="0.45">
      <c r="D11360" s="47"/>
    </row>
    <row r="11361" spans="4:4" x14ac:dyDescent="0.45">
      <c r="D11361" s="47"/>
    </row>
    <row r="11362" spans="4:4" x14ac:dyDescent="0.45">
      <c r="D11362" s="47"/>
    </row>
    <row r="11363" spans="4:4" x14ac:dyDescent="0.45">
      <c r="D11363" s="47"/>
    </row>
    <row r="11364" spans="4:4" x14ac:dyDescent="0.45">
      <c r="D11364" s="47"/>
    </row>
    <row r="11365" spans="4:4" x14ac:dyDescent="0.45">
      <c r="D11365" s="47"/>
    </row>
    <row r="11366" spans="4:4" x14ac:dyDescent="0.45">
      <c r="D11366" s="47"/>
    </row>
    <row r="11367" spans="4:4" x14ac:dyDescent="0.45">
      <c r="D11367" s="47"/>
    </row>
    <row r="11368" spans="4:4" x14ac:dyDescent="0.45">
      <c r="D11368" s="47"/>
    </row>
    <row r="11369" spans="4:4" x14ac:dyDescent="0.45">
      <c r="D11369" s="47"/>
    </row>
    <row r="11370" spans="4:4" x14ac:dyDescent="0.45">
      <c r="D11370" s="47"/>
    </row>
    <row r="11371" spans="4:4" x14ac:dyDescent="0.45">
      <c r="D11371" s="47"/>
    </row>
    <row r="11372" spans="4:4" x14ac:dyDescent="0.45">
      <c r="D11372" s="47"/>
    </row>
    <row r="11373" spans="4:4" x14ac:dyDescent="0.45">
      <c r="D11373" s="47"/>
    </row>
    <row r="11374" spans="4:4" x14ac:dyDescent="0.45">
      <c r="D11374" s="47"/>
    </row>
    <row r="11375" spans="4:4" x14ac:dyDescent="0.45">
      <c r="D11375" s="47"/>
    </row>
    <row r="11376" spans="4:4" x14ac:dyDescent="0.45">
      <c r="D11376" s="47"/>
    </row>
    <row r="11377" spans="4:4" x14ac:dyDescent="0.45">
      <c r="D11377" s="47"/>
    </row>
    <row r="11378" spans="4:4" x14ac:dyDescent="0.45">
      <c r="D11378" s="47"/>
    </row>
    <row r="11379" spans="4:4" x14ac:dyDescent="0.45">
      <c r="D11379" s="47"/>
    </row>
    <row r="11380" spans="4:4" x14ac:dyDescent="0.45">
      <c r="D11380" s="47"/>
    </row>
    <row r="11381" spans="4:4" x14ac:dyDescent="0.45">
      <c r="D11381" s="47"/>
    </row>
    <row r="11382" spans="4:4" x14ac:dyDescent="0.45">
      <c r="D11382" s="47"/>
    </row>
    <row r="11383" spans="4:4" x14ac:dyDescent="0.45">
      <c r="D11383" s="47"/>
    </row>
    <row r="11384" spans="4:4" x14ac:dyDescent="0.45">
      <c r="D11384" s="47"/>
    </row>
    <row r="11385" spans="4:4" x14ac:dyDescent="0.45">
      <c r="D11385" s="47"/>
    </row>
    <row r="11386" spans="4:4" x14ac:dyDescent="0.45">
      <c r="D11386" s="47"/>
    </row>
    <row r="11387" spans="4:4" x14ac:dyDescent="0.45">
      <c r="D11387" s="47"/>
    </row>
    <row r="11388" spans="4:4" x14ac:dyDescent="0.45">
      <c r="D11388" s="47"/>
    </row>
    <row r="11389" spans="4:4" x14ac:dyDescent="0.45">
      <c r="D11389" s="47"/>
    </row>
    <row r="11390" spans="4:4" x14ac:dyDescent="0.45">
      <c r="D11390" s="47"/>
    </row>
    <row r="11391" spans="4:4" x14ac:dyDescent="0.45">
      <c r="D11391" s="47"/>
    </row>
    <row r="11392" spans="4:4" x14ac:dyDescent="0.45">
      <c r="D11392" s="47"/>
    </row>
    <row r="11393" spans="4:4" x14ac:dyDescent="0.45">
      <c r="D11393" s="47"/>
    </row>
    <row r="11394" spans="4:4" x14ac:dyDescent="0.45">
      <c r="D11394" s="47"/>
    </row>
    <row r="11395" spans="4:4" x14ac:dyDescent="0.45">
      <c r="D11395" s="47"/>
    </row>
    <row r="11396" spans="4:4" x14ac:dyDescent="0.45">
      <c r="D11396" s="47"/>
    </row>
    <row r="11397" spans="4:4" x14ac:dyDescent="0.45">
      <c r="D11397" s="47"/>
    </row>
    <row r="11398" spans="4:4" x14ac:dyDescent="0.45">
      <c r="D11398" s="47"/>
    </row>
    <row r="11399" spans="4:4" x14ac:dyDescent="0.45">
      <c r="D11399" s="47"/>
    </row>
    <row r="11400" spans="4:4" x14ac:dyDescent="0.45">
      <c r="D11400" s="47"/>
    </row>
    <row r="11401" spans="4:4" x14ac:dyDescent="0.45">
      <c r="D11401" s="47"/>
    </row>
    <row r="11402" spans="4:4" x14ac:dyDescent="0.45">
      <c r="D11402" s="47"/>
    </row>
    <row r="11403" spans="4:4" x14ac:dyDescent="0.45">
      <c r="D11403" s="47"/>
    </row>
    <row r="11404" spans="4:4" x14ac:dyDescent="0.45">
      <c r="D11404" s="47"/>
    </row>
    <row r="11405" spans="4:4" x14ac:dyDescent="0.45">
      <c r="D11405" s="47"/>
    </row>
    <row r="11406" spans="4:4" x14ac:dyDescent="0.45">
      <c r="D11406" s="47"/>
    </row>
    <row r="11407" spans="4:4" x14ac:dyDescent="0.45">
      <c r="D11407" s="47"/>
    </row>
    <row r="11408" spans="4:4" x14ac:dyDescent="0.45">
      <c r="D11408" s="47"/>
    </row>
    <row r="11409" spans="4:4" x14ac:dyDescent="0.45">
      <c r="D11409" s="47"/>
    </row>
    <row r="11410" spans="4:4" x14ac:dyDescent="0.45">
      <c r="D11410" s="47"/>
    </row>
    <row r="11411" spans="4:4" x14ac:dyDescent="0.45">
      <c r="D11411" s="47"/>
    </row>
    <row r="11412" spans="4:4" x14ac:dyDescent="0.45">
      <c r="D11412" s="47"/>
    </row>
    <row r="11413" spans="4:4" x14ac:dyDescent="0.45">
      <c r="D11413" s="47"/>
    </row>
    <row r="11414" spans="4:4" x14ac:dyDescent="0.45">
      <c r="D11414" s="47"/>
    </row>
    <row r="11415" spans="4:4" x14ac:dyDescent="0.45">
      <c r="D11415" s="47"/>
    </row>
    <row r="11416" spans="4:4" x14ac:dyDescent="0.45">
      <c r="D11416" s="47"/>
    </row>
    <row r="11417" spans="4:4" x14ac:dyDescent="0.45">
      <c r="D11417" s="47"/>
    </row>
    <row r="11418" spans="4:4" x14ac:dyDescent="0.45">
      <c r="D11418" s="47"/>
    </row>
    <row r="11419" spans="4:4" x14ac:dyDescent="0.45">
      <c r="D11419" s="47"/>
    </row>
    <row r="11420" spans="4:4" x14ac:dyDescent="0.45">
      <c r="D11420" s="47"/>
    </row>
    <row r="11421" spans="4:4" x14ac:dyDescent="0.45">
      <c r="D11421" s="47"/>
    </row>
    <row r="11422" spans="4:4" x14ac:dyDescent="0.45">
      <c r="D11422" s="47"/>
    </row>
    <row r="11423" spans="4:4" x14ac:dyDescent="0.45">
      <c r="D11423" s="47"/>
    </row>
    <row r="11424" spans="4:4" x14ac:dyDescent="0.45">
      <c r="D11424" s="47"/>
    </row>
    <row r="11425" spans="4:4" x14ac:dyDescent="0.45">
      <c r="D11425" s="47"/>
    </row>
    <row r="11426" spans="4:4" x14ac:dyDescent="0.45">
      <c r="D11426" s="47"/>
    </row>
    <row r="11427" spans="4:4" x14ac:dyDescent="0.45">
      <c r="D11427" s="47"/>
    </row>
    <row r="11428" spans="4:4" x14ac:dyDescent="0.45">
      <c r="D11428" s="47"/>
    </row>
    <row r="11429" spans="4:4" x14ac:dyDescent="0.45">
      <c r="D11429" s="47"/>
    </row>
    <row r="11430" spans="4:4" x14ac:dyDescent="0.45">
      <c r="D11430" s="47"/>
    </row>
    <row r="11431" spans="4:4" x14ac:dyDescent="0.45">
      <c r="D11431" s="47"/>
    </row>
    <row r="11432" spans="4:4" x14ac:dyDescent="0.45">
      <c r="D11432" s="47"/>
    </row>
    <row r="11433" spans="4:4" x14ac:dyDescent="0.45">
      <c r="D11433" s="47"/>
    </row>
    <row r="11434" spans="4:4" x14ac:dyDescent="0.45">
      <c r="D11434" s="47"/>
    </row>
    <row r="11435" spans="4:4" x14ac:dyDescent="0.45">
      <c r="D11435" s="47"/>
    </row>
    <row r="11436" spans="4:4" x14ac:dyDescent="0.45">
      <c r="D11436" s="47"/>
    </row>
    <row r="11437" spans="4:4" x14ac:dyDescent="0.45">
      <c r="D11437" s="47"/>
    </row>
    <row r="11438" spans="4:4" x14ac:dyDescent="0.45">
      <c r="D11438" s="47"/>
    </row>
    <row r="11439" spans="4:4" x14ac:dyDescent="0.45">
      <c r="D11439" s="47"/>
    </row>
    <row r="11440" spans="4:4" x14ac:dyDescent="0.45">
      <c r="D11440" s="47"/>
    </row>
    <row r="11441" spans="4:4" x14ac:dyDescent="0.45">
      <c r="D11441" s="47"/>
    </row>
    <row r="11442" spans="4:4" x14ac:dyDescent="0.45">
      <c r="D11442" s="47"/>
    </row>
    <row r="11443" spans="4:4" x14ac:dyDescent="0.45">
      <c r="D11443" s="47"/>
    </row>
    <row r="11444" spans="4:4" x14ac:dyDescent="0.45">
      <c r="D11444" s="47"/>
    </row>
    <row r="11445" spans="4:4" x14ac:dyDescent="0.45">
      <c r="D11445" s="47"/>
    </row>
    <row r="11446" spans="4:4" x14ac:dyDescent="0.45">
      <c r="D11446" s="47"/>
    </row>
    <row r="11447" spans="4:4" x14ac:dyDescent="0.45">
      <c r="D11447" s="47"/>
    </row>
    <row r="11448" spans="4:4" x14ac:dyDescent="0.45">
      <c r="D11448" s="47"/>
    </row>
    <row r="11449" spans="4:4" x14ac:dyDescent="0.45">
      <c r="D11449" s="47"/>
    </row>
    <row r="11450" spans="4:4" x14ac:dyDescent="0.45">
      <c r="D11450" s="47"/>
    </row>
    <row r="11451" spans="4:4" x14ac:dyDescent="0.45">
      <c r="D11451" s="47"/>
    </row>
    <row r="11452" spans="4:4" x14ac:dyDescent="0.45">
      <c r="D11452" s="47"/>
    </row>
    <row r="11453" spans="4:4" x14ac:dyDescent="0.45">
      <c r="D11453" s="47"/>
    </row>
    <row r="11454" spans="4:4" x14ac:dyDescent="0.45">
      <c r="D11454" s="47"/>
    </row>
    <row r="11455" spans="4:4" x14ac:dyDescent="0.45">
      <c r="D11455" s="47"/>
    </row>
    <row r="11456" spans="4:4" x14ac:dyDescent="0.45">
      <c r="D11456" s="47"/>
    </row>
    <row r="11457" spans="4:4" x14ac:dyDescent="0.45">
      <c r="D11457" s="47"/>
    </row>
    <row r="11458" spans="4:4" x14ac:dyDescent="0.45">
      <c r="D11458" s="47"/>
    </row>
    <row r="11459" spans="4:4" x14ac:dyDescent="0.45">
      <c r="D11459" s="47"/>
    </row>
    <row r="11460" spans="4:4" x14ac:dyDescent="0.45">
      <c r="D11460" s="47"/>
    </row>
    <row r="11461" spans="4:4" x14ac:dyDescent="0.45">
      <c r="D11461" s="47"/>
    </row>
    <row r="11462" spans="4:4" x14ac:dyDescent="0.45">
      <c r="D11462" s="47"/>
    </row>
    <row r="11463" spans="4:4" x14ac:dyDescent="0.45">
      <c r="D11463" s="47"/>
    </row>
    <row r="11464" spans="4:4" x14ac:dyDescent="0.45">
      <c r="D11464" s="47"/>
    </row>
    <row r="11465" spans="4:4" x14ac:dyDescent="0.45">
      <c r="D11465" s="47"/>
    </row>
    <row r="11466" spans="4:4" x14ac:dyDescent="0.45">
      <c r="D11466" s="47"/>
    </row>
    <row r="11467" spans="4:4" x14ac:dyDescent="0.45">
      <c r="D11467" s="47"/>
    </row>
    <row r="11468" spans="4:4" x14ac:dyDescent="0.45">
      <c r="D11468" s="47"/>
    </row>
    <row r="11469" spans="4:4" x14ac:dyDescent="0.45">
      <c r="D11469" s="47"/>
    </row>
    <row r="11470" spans="4:4" x14ac:dyDescent="0.45">
      <c r="D11470" s="47"/>
    </row>
    <row r="11471" spans="4:4" x14ac:dyDescent="0.45">
      <c r="D11471" s="47"/>
    </row>
    <row r="11472" spans="4:4" x14ac:dyDescent="0.45">
      <c r="D11472" s="47"/>
    </row>
    <row r="11473" spans="4:4" x14ac:dyDescent="0.45">
      <c r="D11473" s="47"/>
    </row>
    <row r="11474" spans="4:4" x14ac:dyDescent="0.45">
      <c r="D11474" s="47"/>
    </row>
    <row r="11475" spans="4:4" x14ac:dyDescent="0.45">
      <c r="D11475" s="47"/>
    </row>
    <row r="11476" spans="4:4" x14ac:dyDescent="0.45">
      <c r="D11476" s="47"/>
    </row>
    <row r="11477" spans="4:4" x14ac:dyDescent="0.45">
      <c r="D11477" s="47"/>
    </row>
    <row r="11478" spans="4:4" x14ac:dyDescent="0.45">
      <c r="D11478" s="47"/>
    </row>
    <row r="11479" spans="4:4" x14ac:dyDescent="0.45">
      <c r="D11479" s="47"/>
    </row>
    <row r="11480" spans="4:4" x14ac:dyDescent="0.45">
      <c r="D11480" s="47"/>
    </row>
    <row r="11481" spans="4:4" x14ac:dyDescent="0.45">
      <c r="D11481" s="47"/>
    </row>
    <row r="11482" spans="4:4" x14ac:dyDescent="0.45">
      <c r="D11482" s="47"/>
    </row>
    <row r="11483" spans="4:4" x14ac:dyDescent="0.45">
      <c r="D11483" s="47"/>
    </row>
    <row r="11484" spans="4:4" x14ac:dyDescent="0.45">
      <c r="D11484" s="47"/>
    </row>
    <row r="11485" spans="4:4" x14ac:dyDescent="0.45">
      <c r="D11485" s="47"/>
    </row>
    <row r="11486" spans="4:4" x14ac:dyDescent="0.45">
      <c r="D11486" s="47"/>
    </row>
    <row r="11487" spans="4:4" x14ac:dyDescent="0.45">
      <c r="D11487" s="47"/>
    </row>
    <row r="11488" spans="4:4" x14ac:dyDescent="0.45">
      <c r="D11488" s="47"/>
    </row>
    <row r="11489" spans="4:4" x14ac:dyDescent="0.45">
      <c r="D11489" s="47"/>
    </row>
    <row r="11490" spans="4:4" x14ac:dyDescent="0.45">
      <c r="D11490" s="47"/>
    </row>
    <row r="11491" spans="4:4" x14ac:dyDescent="0.45">
      <c r="D11491" s="47"/>
    </row>
    <row r="11492" spans="4:4" x14ac:dyDescent="0.45">
      <c r="D11492" s="47"/>
    </row>
    <row r="11493" spans="4:4" x14ac:dyDescent="0.45">
      <c r="D11493" s="47"/>
    </row>
    <row r="11494" spans="4:4" x14ac:dyDescent="0.45">
      <c r="D11494" s="47"/>
    </row>
    <row r="11495" spans="4:4" x14ac:dyDescent="0.45">
      <c r="D11495" s="47"/>
    </row>
    <row r="11496" spans="4:4" x14ac:dyDescent="0.45">
      <c r="D11496" s="47"/>
    </row>
    <row r="11497" spans="4:4" x14ac:dyDescent="0.45">
      <c r="D11497" s="47"/>
    </row>
    <row r="11498" spans="4:4" x14ac:dyDescent="0.45">
      <c r="D11498" s="47"/>
    </row>
    <row r="11499" spans="4:4" x14ac:dyDescent="0.45">
      <c r="D11499" s="47"/>
    </row>
    <row r="11500" spans="4:4" x14ac:dyDescent="0.45">
      <c r="D11500" s="47"/>
    </row>
    <row r="11501" spans="4:4" x14ac:dyDescent="0.45">
      <c r="D11501" s="47"/>
    </row>
    <row r="11502" spans="4:4" x14ac:dyDescent="0.45">
      <c r="D11502" s="47"/>
    </row>
    <row r="11503" spans="4:4" x14ac:dyDescent="0.45">
      <c r="D11503" s="47"/>
    </row>
    <row r="11504" spans="4:4" x14ac:dyDescent="0.45">
      <c r="D11504" s="47"/>
    </row>
    <row r="11505" spans="4:4" x14ac:dyDescent="0.45">
      <c r="D11505" s="47"/>
    </row>
    <row r="11506" spans="4:4" x14ac:dyDescent="0.45">
      <c r="D11506" s="47"/>
    </row>
    <row r="11507" spans="4:4" x14ac:dyDescent="0.45">
      <c r="D11507" s="47"/>
    </row>
    <row r="11508" spans="4:4" x14ac:dyDescent="0.45">
      <c r="D11508" s="47"/>
    </row>
    <row r="11509" spans="4:4" x14ac:dyDescent="0.45">
      <c r="D11509" s="47"/>
    </row>
    <row r="11510" spans="4:4" x14ac:dyDescent="0.45">
      <c r="D11510" s="47"/>
    </row>
    <row r="11511" spans="4:4" x14ac:dyDescent="0.45">
      <c r="D11511" s="47"/>
    </row>
    <row r="11512" spans="4:4" x14ac:dyDescent="0.45">
      <c r="D11512" s="47"/>
    </row>
    <row r="11513" spans="4:4" x14ac:dyDescent="0.45">
      <c r="D11513" s="47"/>
    </row>
    <row r="11514" spans="4:4" x14ac:dyDescent="0.45">
      <c r="D11514" s="47"/>
    </row>
    <row r="11515" spans="4:4" x14ac:dyDescent="0.45">
      <c r="D11515" s="47"/>
    </row>
    <row r="11516" spans="4:4" x14ac:dyDescent="0.45">
      <c r="D11516" s="47"/>
    </row>
    <row r="11517" spans="4:4" x14ac:dyDescent="0.45">
      <c r="D11517" s="47"/>
    </row>
    <row r="11518" spans="4:4" x14ac:dyDescent="0.45">
      <c r="D11518" s="47"/>
    </row>
    <row r="11519" spans="4:4" x14ac:dyDescent="0.45">
      <c r="D11519" s="47"/>
    </row>
    <row r="11520" spans="4:4" x14ac:dyDescent="0.45">
      <c r="D11520" s="47"/>
    </row>
    <row r="11521" spans="4:4" x14ac:dyDescent="0.45">
      <c r="D11521" s="47"/>
    </row>
    <row r="11522" spans="4:4" x14ac:dyDescent="0.45">
      <c r="D11522" s="47"/>
    </row>
    <row r="11523" spans="4:4" x14ac:dyDescent="0.45">
      <c r="D11523" s="47"/>
    </row>
    <row r="11524" spans="4:4" x14ac:dyDescent="0.45">
      <c r="D11524" s="47"/>
    </row>
    <row r="11525" spans="4:4" x14ac:dyDescent="0.45">
      <c r="D11525" s="47"/>
    </row>
    <row r="11526" spans="4:4" x14ac:dyDescent="0.45">
      <c r="D11526" s="47"/>
    </row>
    <row r="11527" spans="4:4" x14ac:dyDescent="0.45">
      <c r="D11527" s="47"/>
    </row>
    <row r="11528" spans="4:4" x14ac:dyDescent="0.45">
      <c r="D11528" s="47"/>
    </row>
    <row r="11529" spans="4:4" x14ac:dyDescent="0.45">
      <c r="D11529" s="47"/>
    </row>
    <row r="11530" spans="4:4" x14ac:dyDescent="0.45">
      <c r="D11530" s="47"/>
    </row>
    <row r="11531" spans="4:4" x14ac:dyDescent="0.45">
      <c r="D11531" s="47"/>
    </row>
    <row r="11532" spans="4:4" x14ac:dyDescent="0.45">
      <c r="D11532" s="47"/>
    </row>
    <row r="11533" spans="4:4" x14ac:dyDescent="0.45">
      <c r="D11533" s="47"/>
    </row>
    <row r="11534" spans="4:4" x14ac:dyDescent="0.45">
      <c r="D11534" s="47"/>
    </row>
    <row r="11535" spans="4:4" x14ac:dyDescent="0.45">
      <c r="D11535" s="47"/>
    </row>
    <row r="11536" spans="4:4" x14ac:dyDescent="0.45">
      <c r="D11536" s="47"/>
    </row>
    <row r="11537" spans="4:4" x14ac:dyDescent="0.45">
      <c r="D11537" s="47"/>
    </row>
    <row r="11538" spans="4:4" x14ac:dyDescent="0.45">
      <c r="D11538" s="47"/>
    </row>
    <row r="11539" spans="4:4" x14ac:dyDescent="0.45">
      <c r="D11539" s="47"/>
    </row>
    <row r="11540" spans="4:4" x14ac:dyDescent="0.45">
      <c r="D11540" s="47"/>
    </row>
    <row r="11541" spans="4:4" x14ac:dyDescent="0.45">
      <c r="D11541" s="47"/>
    </row>
    <row r="11542" spans="4:4" x14ac:dyDescent="0.45">
      <c r="D11542" s="47"/>
    </row>
    <row r="11543" spans="4:4" x14ac:dyDescent="0.45">
      <c r="D11543" s="47"/>
    </row>
    <row r="11544" spans="4:4" x14ac:dyDescent="0.45">
      <c r="D11544" s="47"/>
    </row>
    <row r="11545" spans="4:4" x14ac:dyDescent="0.45">
      <c r="D11545" s="47"/>
    </row>
    <row r="11546" spans="4:4" x14ac:dyDescent="0.45">
      <c r="D11546" s="47"/>
    </row>
    <row r="11547" spans="4:4" x14ac:dyDescent="0.45">
      <c r="D11547" s="47"/>
    </row>
    <row r="11548" spans="4:4" x14ac:dyDescent="0.45">
      <c r="D11548" s="47"/>
    </row>
    <row r="11549" spans="4:4" x14ac:dyDescent="0.45">
      <c r="D11549" s="47"/>
    </row>
    <row r="11550" spans="4:4" x14ac:dyDescent="0.45">
      <c r="D11550" s="47"/>
    </row>
    <row r="11551" spans="4:4" x14ac:dyDescent="0.45">
      <c r="D11551" s="47"/>
    </row>
    <row r="11552" spans="4:4" x14ac:dyDescent="0.45">
      <c r="D11552" s="47"/>
    </row>
    <row r="11553" spans="4:4" x14ac:dyDescent="0.45">
      <c r="D11553" s="47"/>
    </row>
    <row r="11554" spans="4:4" x14ac:dyDescent="0.45">
      <c r="D11554" s="47"/>
    </row>
    <row r="11555" spans="4:4" x14ac:dyDescent="0.45">
      <c r="D11555" s="47"/>
    </row>
    <row r="11556" spans="4:4" x14ac:dyDescent="0.45">
      <c r="D11556" s="47"/>
    </row>
    <row r="11557" spans="4:4" x14ac:dyDescent="0.45">
      <c r="D11557" s="47"/>
    </row>
    <row r="11558" spans="4:4" x14ac:dyDescent="0.45">
      <c r="D11558" s="47"/>
    </row>
    <row r="11559" spans="4:4" x14ac:dyDescent="0.45">
      <c r="D11559" s="47"/>
    </row>
    <row r="11560" spans="4:4" x14ac:dyDescent="0.45">
      <c r="D11560" s="47"/>
    </row>
    <row r="11561" spans="4:4" x14ac:dyDescent="0.45">
      <c r="D11561" s="47"/>
    </row>
    <row r="11562" spans="4:4" x14ac:dyDescent="0.45">
      <c r="D11562" s="47"/>
    </row>
    <row r="11563" spans="4:4" x14ac:dyDescent="0.45">
      <c r="D11563" s="47"/>
    </row>
    <row r="11564" spans="4:4" x14ac:dyDescent="0.45">
      <c r="D11564" s="47"/>
    </row>
    <row r="11565" spans="4:4" x14ac:dyDescent="0.45">
      <c r="D11565" s="47"/>
    </row>
    <row r="11566" spans="4:4" x14ac:dyDescent="0.45">
      <c r="D11566" s="47"/>
    </row>
    <row r="11567" spans="4:4" x14ac:dyDescent="0.45">
      <c r="D11567" s="47"/>
    </row>
    <row r="11568" spans="4:4" x14ac:dyDescent="0.45">
      <c r="D11568" s="47"/>
    </row>
    <row r="11569" spans="4:4" x14ac:dyDescent="0.45">
      <c r="D11569" s="47"/>
    </row>
    <row r="11570" spans="4:4" x14ac:dyDescent="0.45">
      <c r="D11570" s="47"/>
    </row>
    <row r="11571" spans="4:4" x14ac:dyDescent="0.45">
      <c r="D11571" s="47"/>
    </row>
    <row r="11572" spans="4:4" x14ac:dyDescent="0.45">
      <c r="D11572" s="47"/>
    </row>
    <row r="11573" spans="4:4" x14ac:dyDescent="0.45">
      <c r="D11573" s="47"/>
    </row>
    <row r="11574" spans="4:4" x14ac:dyDescent="0.45">
      <c r="D11574" s="47"/>
    </row>
    <row r="11575" spans="4:4" x14ac:dyDescent="0.45">
      <c r="D11575" s="47"/>
    </row>
    <row r="11576" spans="4:4" x14ac:dyDescent="0.45">
      <c r="D11576" s="47"/>
    </row>
    <row r="11577" spans="4:4" x14ac:dyDescent="0.45">
      <c r="D11577" s="47"/>
    </row>
    <row r="11578" spans="4:4" x14ac:dyDescent="0.45">
      <c r="D11578" s="47"/>
    </row>
    <row r="11579" spans="4:4" x14ac:dyDescent="0.45">
      <c r="D11579" s="47"/>
    </row>
    <row r="11580" spans="4:4" x14ac:dyDescent="0.45">
      <c r="D11580" s="47"/>
    </row>
    <row r="11581" spans="4:4" x14ac:dyDescent="0.45">
      <c r="D11581" s="47"/>
    </row>
    <row r="11582" spans="4:4" x14ac:dyDescent="0.45">
      <c r="D11582" s="47"/>
    </row>
    <row r="11583" spans="4:4" x14ac:dyDescent="0.45">
      <c r="D11583" s="47"/>
    </row>
    <row r="11584" spans="4:4" x14ac:dyDescent="0.45">
      <c r="D11584" s="47"/>
    </row>
    <row r="11585" spans="4:4" x14ac:dyDescent="0.45">
      <c r="D11585" s="47"/>
    </row>
    <row r="11586" spans="4:4" x14ac:dyDescent="0.45">
      <c r="D11586" s="47"/>
    </row>
    <row r="11587" spans="4:4" x14ac:dyDescent="0.45">
      <c r="D11587" s="47"/>
    </row>
    <row r="11588" spans="4:4" x14ac:dyDescent="0.45">
      <c r="D11588" s="47"/>
    </row>
    <row r="11589" spans="4:4" x14ac:dyDescent="0.45">
      <c r="D11589" s="47"/>
    </row>
    <row r="11590" spans="4:4" x14ac:dyDescent="0.45">
      <c r="D11590" s="47"/>
    </row>
    <row r="11591" spans="4:4" x14ac:dyDescent="0.45">
      <c r="D11591" s="47"/>
    </row>
    <row r="11592" spans="4:4" x14ac:dyDescent="0.45">
      <c r="D11592" s="47"/>
    </row>
    <row r="11593" spans="4:4" x14ac:dyDescent="0.45">
      <c r="D11593" s="47"/>
    </row>
    <row r="11594" spans="4:4" x14ac:dyDescent="0.45">
      <c r="D11594" s="47"/>
    </row>
    <row r="11595" spans="4:4" x14ac:dyDescent="0.45">
      <c r="D11595" s="47"/>
    </row>
    <row r="11596" spans="4:4" x14ac:dyDescent="0.45">
      <c r="D11596" s="47"/>
    </row>
    <row r="11597" spans="4:4" x14ac:dyDescent="0.45">
      <c r="D11597" s="47"/>
    </row>
    <row r="11598" spans="4:4" x14ac:dyDescent="0.45">
      <c r="D11598" s="47"/>
    </row>
    <row r="11599" spans="4:4" x14ac:dyDescent="0.45">
      <c r="D11599" s="47"/>
    </row>
    <row r="11600" spans="4:4" x14ac:dyDescent="0.45">
      <c r="D11600" s="47"/>
    </row>
    <row r="11601" spans="4:4" x14ac:dyDescent="0.45">
      <c r="D11601" s="47"/>
    </row>
    <row r="11602" spans="4:4" x14ac:dyDescent="0.45">
      <c r="D11602" s="47"/>
    </row>
    <row r="11603" spans="4:4" x14ac:dyDescent="0.45">
      <c r="D11603" s="47"/>
    </row>
    <row r="11604" spans="4:4" x14ac:dyDescent="0.45">
      <c r="D11604" s="47"/>
    </row>
    <row r="11605" spans="4:4" x14ac:dyDescent="0.45">
      <c r="D11605" s="47"/>
    </row>
    <row r="11606" spans="4:4" x14ac:dyDescent="0.45">
      <c r="D11606" s="47"/>
    </row>
    <row r="11607" spans="4:4" x14ac:dyDescent="0.45">
      <c r="D11607" s="47"/>
    </row>
    <row r="11608" spans="4:4" x14ac:dyDescent="0.45">
      <c r="D11608" s="47"/>
    </row>
    <row r="11609" spans="4:4" x14ac:dyDescent="0.45">
      <c r="D11609" s="47"/>
    </row>
    <row r="11610" spans="4:4" x14ac:dyDescent="0.45">
      <c r="D11610" s="47"/>
    </row>
    <row r="11611" spans="4:4" x14ac:dyDescent="0.45">
      <c r="D11611" s="47"/>
    </row>
    <row r="11612" spans="4:4" x14ac:dyDescent="0.45">
      <c r="D11612" s="47"/>
    </row>
    <row r="11613" spans="4:4" x14ac:dyDescent="0.45">
      <c r="D11613" s="47"/>
    </row>
    <row r="11614" spans="4:4" x14ac:dyDescent="0.45">
      <c r="D11614" s="47"/>
    </row>
    <row r="11615" spans="4:4" x14ac:dyDescent="0.45">
      <c r="D11615" s="47"/>
    </row>
    <row r="11616" spans="4:4" x14ac:dyDescent="0.45">
      <c r="D11616" s="47"/>
    </row>
    <row r="11617" spans="4:4" x14ac:dyDescent="0.45">
      <c r="D11617" s="47"/>
    </row>
    <row r="11618" spans="4:4" x14ac:dyDescent="0.45">
      <c r="D11618" s="47"/>
    </row>
    <row r="11619" spans="4:4" x14ac:dyDescent="0.45">
      <c r="D11619" s="47"/>
    </row>
    <row r="11620" spans="4:4" x14ac:dyDescent="0.45">
      <c r="D11620" s="47"/>
    </row>
    <row r="11621" spans="4:4" x14ac:dyDescent="0.45">
      <c r="D11621" s="47"/>
    </row>
    <row r="11622" spans="4:4" x14ac:dyDescent="0.45">
      <c r="D11622" s="47"/>
    </row>
    <row r="11623" spans="4:4" x14ac:dyDescent="0.45">
      <c r="D11623" s="47"/>
    </row>
    <row r="11624" spans="4:4" x14ac:dyDescent="0.45">
      <c r="D11624" s="47"/>
    </row>
    <row r="11625" spans="4:4" x14ac:dyDescent="0.45">
      <c r="D11625" s="47"/>
    </row>
    <row r="11626" spans="4:4" x14ac:dyDescent="0.45">
      <c r="D11626" s="47"/>
    </row>
    <row r="11627" spans="4:4" x14ac:dyDescent="0.45">
      <c r="D11627" s="47"/>
    </row>
    <row r="11628" spans="4:4" x14ac:dyDescent="0.45">
      <c r="D11628" s="47"/>
    </row>
    <row r="11629" spans="4:4" x14ac:dyDescent="0.45">
      <c r="D11629" s="47"/>
    </row>
    <row r="11630" spans="4:4" x14ac:dyDescent="0.45">
      <c r="D11630" s="47"/>
    </row>
    <row r="11631" spans="4:4" x14ac:dyDescent="0.45">
      <c r="D11631" s="47"/>
    </row>
    <row r="11632" spans="4:4" x14ac:dyDescent="0.45">
      <c r="D11632" s="47"/>
    </row>
    <row r="11633" spans="4:4" x14ac:dyDescent="0.45">
      <c r="D11633" s="47"/>
    </row>
    <row r="11634" spans="4:4" x14ac:dyDescent="0.45">
      <c r="D11634" s="47"/>
    </row>
    <row r="11635" spans="4:4" x14ac:dyDescent="0.45">
      <c r="D11635" s="47"/>
    </row>
    <row r="11636" spans="4:4" x14ac:dyDescent="0.45">
      <c r="D11636" s="47"/>
    </row>
    <row r="11637" spans="4:4" x14ac:dyDescent="0.45">
      <c r="D11637" s="47"/>
    </row>
    <row r="11638" spans="4:4" x14ac:dyDescent="0.45">
      <c r="D11638" s="47"/>
    </row>
    <row r="11639" spans="4:4" x14ac:dyDescent="0.45">
      <c r="D11639" s="47"/>
    </row>
    <row r="11640" spans="4:4" x14ac:dyDescent="0.45">
      <c r="D11640" s="47"/>
    </row>
    <row r="11641" spans="4:4" x14ac:dyDescent="0.45">
      <c r="D11641" s="47"/>
    </row>
    <row r="11642" spans="4:4" x14ac:dyDescent="0.45">
      <c r="D11642" s="47"/>
    </row>
    <row r="11643" spans="4:4" x14ac:dyDescent="0.45">
      <c r="D11643" s="47"/>
    </row>
    <row r="11644" spans="4:4" x14ac:dyDescent="0.45">
      <c r="D11644" s="47"/>
    </row>
    <row r="11645" spans="4:4" x14ac:dyDescent="0.45">
      <c r="D11645" s="47"/>
    </row>
    <row r="11646" spans="4:4" x14ac:dyDescent="0.45">
      <c r="D11646" s="47"/>
    </row>
    <row r="11647" spans="4:4" x14ac:dyDescent="0.45">
      <c r="D11647" s="47"/>
    </row>
    <row r="11648" spans="4:4" x14ac:dyDescent="0.45">
      <c r="D11648" s="47"/>
    </row>
    <row r="11649" spans="4:4" x14ac:dyDescent="0.45">
      <c r="D11649" s="47"/>
    </row>
    <row r="11650" spans="4:4" x14ac:dyDescent="0.45">
      <c r="D11650" s="47"/>
    </row>
    <row r="11651" spans="4:4" x14ac:dyDescent="0.45">
      <c r="D11651" s="47"/>
    </row>
    <row r="11652" spans="4:4" x14ac:dyDescent="0.45">
      <c r="D11652" s="47"/>
    </row>
    <row r="11653" spans="4:4" x14ac:dyDescent="0.45">
      <c r="D11653" s="47"/>
    </row>
    <row r="11654" spans="4:4" x14ac:dyDescent="0.45">
      <c r="D11654" s="47"/>
    </row>
    <row r="11655" spans="4:4" x14ac:dyDescent="0.45">
      <c r="D11655" s="47"/>
    </row>
    <row r="11656" spans="4:4" x14ac:dyDescent="0.45">
      <c r="D11656" s="47"/>
    </row>
    <row r="11657" spans="4:4" x14ac:dyDescent="0.45">
      <c r="D11657" s="47"/>
    </row>
    <row r="11658" spans="4:4" x14ac:dyDescent="0.45">
      <c r="D11658" s="47"/>
    </row>
    <row r="11659" spans="4:4" x14ac:dyDescent="0.45">
      <c r="D11659" s="47"/>
    </row>
    <row r="11660" spans="4:4" x14ac:dyDescent="0.45">
      <c r="D11660" s="47"/>
    </row>
    <row r="11661" spans="4:4" x14ac:dyDescent="0.45">
      <c r="D11661" s="47"/>
    </row>
    <row r="11662" spans="4:4" x14ac:dyDescent="0.45">
      <c r="D11662" s="47"/>
    </row>
    <row r="11663" spans="4:4" x14ac:dyDescent="0.45">
      <c r="D11663" s="47"/>
    </row>
    <row r="11664" spans="4:4" x14ac:dyDescent="0.45">
      <c r="D11664" s="47"/>
    </row>
    <row r="11665" spans="4:4" x14ac:dyDescent="0.45">
      <c r="D11665" s="47"/>
    </row>
    <row r="11666" spans="4:4" x14ac:dyDescent="0.45">
      <c r="D11666" s="47"/>
    </row>
    <row r="11667" spans="4:4" x14ac:dyDescent="0.45">
      <c r="D11667" s="47"/>
    </row>
    <row r="11668" spans="4:4" x14ac:dyDescent="0.45">
      <c r="D11668" s="47"/>
    </row>
    <row r="11669" spans="4:4" x14ac:dyDescent="0.45">
      <c r="D11669" s="47"/>
    </row>
    <row r="11670" spans="4:4" x14ac:dyDescent="0.45">
      <c r="D11670" s="47"/>
    </row>
    <row r="11671" spans="4:4" x14ac:dyDescent="0.45">
      <c r="D11671" s="47"/>
    </row>
    <row r="11672" spans="4:4" x14ac:dyDescent="0.45">
      <c r="D11672" s="47"/>
    </row>
    <row r="11673" spans="4:4" x14ac:dyDescent="0.45">
      <c r="D11673" s="47"/>
    </row>
    <row r="11674" spans="4:4" x14ac:dyDescent="0.45">
      <c r="D11674" s="47"/>
    </row>
    <row r="11675" spans="4:4" x14ac:dyDescent="0.45">
      <c r="D11675" s="47"/>
    </row>
    <row r="11676" spans="4:4" x14ac:dyDescent="0.45">
      <c r="D11676" s="47"/>
    </row>
    <row r="11677" spans="4:4" x14ac:dyDescent="0.45">
      <c r="D11677" s="47"/>
    </row>
    <row r="11678" spans="4:4" x14ac:dyDescent="0.45">
      <c r="D11678" s="47"/>
    </row>
    <row r="11679" spans="4:4" x14ac:dyDescent="0.45">
      <c r="D11679" s="47"/>
    </row>
    <row r="11680" spans="4:4" x14ac:dyDescent="0.45">
      <c r="D11680" s="47"/>
    </row>
    <row r="11681" spans="4:4" x14ac:dyDescent="0.45">
      <c r="D11681" s="47"/>
    </row>
    <row r="11682" spans="4:4" x14ac:dyDescent="0.45">
      <c r="D11682" s="47"/>
    </row>
    <row r="11683" spans="4:4" x14ac:dyDescent="0.45">
      <c r="D11683" s="47"/>
    </row>
    <row r="11684" spans="4:4" x14ac:dyDescent="0.45">
      <c r="D11684" s="47"/>
    </row>
    <row r="11685" spans="4:4" x14ac:dyDescent="0.45">
      <c r="D11685" s="47"/>
    </row>
    <row r="11686" spans="4:4" x14ac:dyDescent="0.45">
      <c r="D11686" s="47"/>
    </row>
    <row r="11687" spans="4:4" x14ac:dyDescent="0.45">
      <c r="D11687" s="47"/>
    </row>
    <row r="11688" spans="4:4" x14ac:dyDescent="0.45">
      <c r="D11688" s="47"/>
    </row>
    <row r="11689" spans="4:4" x14ac:dyDescent="0.45">
      <c r="D11689" s="47"/>
    </row>
    <row r="11690" spans="4:4" x14ac:dyDescent="0.45">
      <c r="D11690" s="47"/>
    </row>
    <row r="11691" spans="4:4" x14ac:dyDescent="0.45">
      <c r="D11691" s="47"/>
    </row>
    <row r="11692" spans="4:4" x14ac:dyDescent="0.45">
      <c r="D11692" s="47"/>
    </row>
    <row r="11693" spans="4:4" x14ac:dyDescent="0.45">
      <c r="D11693" s="47"/>
    </row>
    <row r="11694" spans="4:4" x14ac:dyDescent="0.45">
      <c r="D11694" s="47"/>
    </row>
    <row r="11695" spans="4:4" x14ac:dyDescent="0.45">
      <c r="D11695" s="47"/>
    </row>
    <row r="11696" spans="4:4" x14ac:dyDescent="0.45">
      <c r="D11696" s="47"/>
    </row>
    <row r="11697" spans="4:4" x14ac:dyDescent="0.45">
      <c r="D11697" s="47"/>
    </row>
    <row r="11698" spans="4:4" x14ac:dyDescent="0.45">
      <c r="D11698" s="47"/>
    </row>
    <row r="11699" spans="4:4" x14ac:dyDescent="0.45">
      <c r="D11699" s="47"/>
    </row>
    <row r="11700" spans="4:4" x14ac:dyDescent="0.45">
      <c r="D11700" s="47"/>
    </row>
    <row r="11701" spans="4:4" x14ac:dyDescent="0.45">
      <c r="D11701" s="47"/>
    </row>
    <row r="11702" spans="4:4" x14ac:dyDescent="0.45">
      <c r="D11702" s="47"/>
    </row>
    <row r="11703" spans="4:4" x14ac:dyDescent="0.45">
      <c r="D11703" s="47"/>
    </row>
    <row r="11704" spans="4:4" x14ac:dyDescent="0.45">
      <c r="D11704" s="47"/>
    </row>
    <row r="11705" spans="4:4" x14ac:dyDescent="0.45">
      <c r="D11705" s="47"/>
    </row>
    <row r="11706" spans="4:4" x14ac:dyDescent="0.45">
      <c r="D11706" s="47"/>
    </row>
    <row r="11707" spans="4:4" x14ac:dyDescent="0.45">
      <c r="D11707" s="47"/>
    </row>
    <row r="11708" spans="4:4" x14ac:dyDescent="0.45">
      <c r="D11708" s="47"/>
    </row>
    <row r="11709" spans="4:4" x14ac:dyDescent="0.45">
      <c r="D11709" s="47"/>
    </row>
    <row r="11710" spans="4:4" x14ac:dyDescent="0.45">
      <c r="D11710" s="47"/>
    </row>
    <row r="11711" spans="4:4" x14ac:dyDescent="0.45">
      <c r="D11711" s="47"/>
    </row>
    <row r="11712" spans="4:4" x14ac:dyDescent="0.45">
      <c r="D11712" s="47"/>
    </row>
    <row r="11713" spans="4:4" x14ac:dyDescent="0.45">
      <c r="D11713" s="47"/>
    </row>
    <row r="11714" spans="4:4" x14ac:dyDescent="0.45">
      <c r="D11714" s="47"/>
    </row>
    <row r="11715" spans="4:4" x14ac:dyDescent="0.45">
      <c r="D11715" s="47"/>
    </row>
    <row r="11716" spans="4:4" x14ac:dyDescent="0.45">
      <c r="D11716" s="47"/>
    </row>
    <row r="11717" spans="4:4" x14ac:dyDescent="0.45">
      <c r="D11717" s="47"/>
    </row>
    <row r="11718" spans="4:4" x14ac:dyDescent="0.45">
      <c r="D11718" s="47"/>
    </row>
    <row r="11719" spans="4:4" x14ac:dyDescent="0.45">
      <c r="D11719" s="47"/>
    </row>
    <row r="11720" spans="4:4" x14ac:dyDescent="0.45">
      <c r="D11720" s="47"/>
    </row>
    <row r="11721" spans="4:4" x14ac:dyDescent="0.45">
      <c r="D11721" s="47"/>
    </row>
    <row r="11722" spans="4:4" x14ac:dyDescent="0.45">
      <c r="D11722" s="47"/>
    </row>
    <row r="11723" spans="4:4" x14ac:dyDescent="0.45">
      <c r="D11723" s="47"/>
    </row>
    <row r="11724" spans="4:4" x14ac:dyDescent="0.45">
      <c r="D11724" s="47"/>
    </row>
    <row r="11725" spans="4:4" x14ac:dyDescent="0.45">
      <c r="D11725" s="47"/>
    </row>
    <row r="11726" spans="4:4" x14ac:dyDescent="0.45">
      <c r="D11726" s="47"/>
    </row>
    <row r="11727" spans="4:4" x14ac:dyDescent="0.45">
      <c r="D11727" s="47"/>
    </row>
    <row r="11728" spans="4:4" x14ac:dyDescent="0.45">
      <c r="D11728" s="47"/>
    </row>
    <row r="11729" spans="4:4" x14ac:dyDescent="0.45">
      <c r="D11729" s="47"/>
    </row>
    <row r="11730" spans="4:4" x14ac:dyDescent="0.45">
      <c r="D11730" s="47"/>
    </row>
    <row r="11731" spans="4:4" x14ac:dyDescent="0.45">
      <c r="D11731" s="47"/>
    </row>
    <row r="11732" spans="4:4" x14ac:dyDescent="0.45">
      <c r="D11732" s="47"/>
    </row>
    <row r="11733" spans="4:4" x14ac:dyDescent="0.45">
      <c r="D11733" s="47"/>
    </row>
    <row r="11734" spans="4:4" x14ac:dyDescent="0.45">
      <c r="D11734" s="47"/>
    </row>
    <row r="11735" spans="4:4" x14ac:dyDescent="0.45">
      <c r="D11735" s="47"/>
    </row>
    <row r="11736" spans="4:4" x14ac:dyDescent="0.45">
      <c r="D11736" s="47"/>
    </row>
    <row r="11737" spans="4:4" x14ac:dyDescent="0.45">
      <c r="D11737" s="47"/>
    </row>
    <row r="11738" spans="4:4" x14ac:dyDescent="0.45">
      <c r="D11738" s="47"/>
    </row>
    <row r="11739" spans="4:4" x14ac:dyDescent="0.45">
      <c r="D11739" s="47"/>
    </row>
    <row r="11740" spans="4:4" x14ac:dyDescent="0.45">
      <c r="D11740" s="47"/>
    </row>
    <row r="11741" spans="4:4" x14ac:dyDescent="0.45">
      <c r="D11741" s="47"/>
    </row>
    <row r="11742" spans="4:4" x14ac:dyDescent="0.45">
      <c r="D11742" s="47"/>
    </row>
    <row r="11743" spans="4:4" x14ac:dyDescent="0.45">
      <c r="D11743" s="47"/>
    </row>
    <row r="11744" spans="4:4" x14ac:dyDescent="0.45">
      <c r="D11744" s="47"/>
    </row>
    <row r="11745" spans="4:4" x14ac:dyDescent="0.45">
      <c r="D11745" s="47"/>
    </row>
    <row r="11746" spans="4:4" x14ac:dyDescent="0.45">
      <c r="D11746" s="47"/>
    </row>
    <row r="11747" spans="4:4" x14ac:dyDescent="0.45">
      <c r="D11747" s="47"/>
    </row>
    <row r="11748" spans="4:4" x14ac:dyDescent="0.45">
      <c r="D11748" s="47"/>
    </row>
    <row r="11749" spans="4:4" x14ac:dyDescent="0.45">
      <c r="D11749" s="47"/>
    </row>
    <row r="11750" spans="4:4" x14ac:dyDescent="0.45">
      <c r="D11750" s="47"/>
    </row>
    <row r="11751" spans="4:4" x14ac:dyDescent="0.45">
      <c r="D11751" s="47"/>
    </row>
    <row r="11752" spans="4:4" x14ac:dyDescent="0.45">
      <c r="D11752" s="47"/>
    </row>
    <row r="11753" spans="4:4" x14ac:dyDescent="0.45">
      <c r="D11753" s="47"/>
    </row>
    <row r="11754" spans="4:4" x14ac:dyDescent="0.45">
      <c r="D11754" s="47"/>
    </row>
    <row r="11755" spans="4:4" x14ac:dyDescent="0.45">
      <c r="D11755" s="47"/>
    </row>
    <row r="11756" spans="4:4" x14ac:dyDescent="0.45">
      <c r="D11756" s="47"/>
    </row>
    <row r="11757" spans="4:4" x14ac:dyDescent="0.45">
      <c r="D11757" s="47"/>
    </row>
    <row r="11758" spans="4:4" x14ac:dyDescent="0.45">
      <c r="D11758" s="47"/>
    </row>
    <row r="11759" spans="4:4" x14ac:dyDescent="0.45">
      <c r="D11759" s="47"/>
    </row>
    <row r="11760" spans="4:4" x14ac:dyDescent="0.45">
      <c r="D11760" s="47"/>
    </row>
    <row r="11761" spans="4:4" x14ac:dyDescent="0.45">
      <c r="D11761" s="47"/>
    </row>
    <row r="11762" spans="4:4" x14ac:dyDescent="0.45">
      <c r="D11762" s="47"/>
    </row>
    <row r="11763" spans="4:4" x14ac:dyDescent="0.45">
      <c r="D11763" s="47"/>
    </row>
    <row r="11764" spans="4:4" x14ac:dyDescent="0.45">
      <c r="D11764" s="47"/>
    </row>
    <row r="11765" spans="4:4" x14ac:dyDescent="0.45">
      <c r="D11765" s="47"/>
    </row>
    <row r="11766" spans="4:4" x14ac:dyDescent="0.45">
      <c r="D11766" s="47"/>
    </row>
    <row r="11767" spans="4:4" x14ac:dyDescent="0.45">
      <c r="D11767" s="47"/>
    </row>
    <row r="11768" spans="4:4" x14ac:dyDescent="0.45">
      <c r="D11768" s="47"/>
    </row>
    <row r="11769" spans="4:4" x14ac:dyDescent="0.45">
      <c r="D11769" s="47"/>
    </row>
    <row r="11770" spans="4:4" x14ac:dyDescent="0.45">
      <c r="D11770" s="47"/>
    </row>
    <row r="11771" spans="4:4" x14ac:dyDescent="0.45">
      <c r="D11771" s="47"/>
    </row>
    <row r="11772" spans="4:4" x14ac:dyDescent="0.45">
      <c r="D11772" s="47"/>
    </row>
    <row r="11773" spans="4:4" x14ac:dyDescent="0.45">
      <c r="D11773" s="47"/>
    </row>
    <row r="11774" spans="4:4" x14ac:dyDescent="0.45">
      <c r="D11774" s="47"/>
    </row>
    <row r="11775" spans="4:4" x14ac:dyDescent="0.45">
      <c r="D11775" s="47"/>
    </row>
    <row r="11776" spans="4:4" x14ac:dyDescent="0.45">
      <c r="D11776" s="47"/>
    </row>
    <row r="11777" spans="4:4" x14ac:dyDescent="0.45">
      <c r="D11777" s="47"/>
    </row>
    <row r="11778" spans="4:4" x14ac:dyDescent="0.45">
      <c r="D11778" s="47"/>
    </row>
    <row r="11779" spans="4:4" x14ac:dyDescent="0.45">
      <c r="D11779" s="47"/>
    </row>
    <row r="11780" spans="4:4" x14ac:dyDescent="0.45">
      <c r="D11780" s="47"/>
    </row>
    <row r="11781" spans="4:4" x14ac:dyDescent="0.45">
      <c r="D11781" s="47"/>
    </row>
    <row r="11782" spans="4:4" x14ac:dyDescent="0.45">
      <c r="D11782" s="47"/>
    </row>
    <row r="11783" spans="4:4" x14ac:dyDescent="0.45">
      <c r="D11783" s="47"/>
    </row>
    <row r="11784" spans="4:4" x14ac:dyDescent="0.45">
      <c r="D11784" s="47"/>
    </row>
    <row r="11785" spans="4:4" x14ac:dyDescent="0.45">
      <c r="D11785" s="47"/>
    </row>
    <row r="11786" spans="4:4" x14ac:dyDescent="0.45">
      <c r="D11786" s="47"/>
    </row>
    <row r="11787" spans="4:4" x14ac:dyDescent="0.45">
      <c r="D11787" s="47"/>
    </row>
    <row r="11788" spans="4:4" x14ac:dyDescent="0.45">
      <c r="D11788" s="47"/>
    </row>
    <row r="11789" spans="4:4" x14ac:dyDescent="0.45">
      <c r="D11789" s="47"/>
    </row>
    <row r="11790" spans="4:4" x14ac:dyDescent="0.45">
      <c r="D11790" s="47"/>
    </row>
    <row r="11791" spans="4:4" x14ac:dyDescent="0.45">
      <c r="D11791" s="47"/>
    </row>
    <row r="11792" spans="4:4" x14ac:dyDescent="0.45">
      <c r="D11792" s="47"/>
    </row>
    <row r="11793" spans="4:4" x14ac:dyDescent="0.45">
      <c r="D11793" s="47"/>
    </row>
    <row r="11794" spans="4:4" x14ac:dyDescent="0.45">
      <c r="D11794" s="47"/>
    </row>
    <row r="11795" spans="4:4" x14ac:dyDescent="0.45">
      <c r="D11795" s="47"/>
    </row>
    <row r="11796" spans="4:4" x14ac:dyDescent="0.45">
      <c r="D11796" s="47"/>
    </row>
    <row r="11797" spans="4:4" x14ac:dyDescent="0.45">
      <c r="D11797" s="47"/>
    </row>
    <row r="11798" spans="4:4" x14ac:dyDescent="0.45">
      <c r="D11798" s="47"/>
    </row>
    <row r="11799" spans="4:4" x14ac:dyDescent="0.45">
      <c r="D11799" s="47"/>
    </row>
    <row r="11800" spans="4:4" x14ac:dyDescent="0.45">
      <c r="D11800" s="47"/>
    </row>
    <row r="11801" spans="4:4" x14ac:dyDescent="0.45">
      <c r="D11801" s="47"/>
    </row>
    <row r="11802" spans="4:4" x14ac:dyDescent="0.45">
      <c r="D11802" s="47"/>
    </row>
    <row r="11803" spans="4:4" x14ac:dyDescent="0.45">
      <c r="D11803" s="47"/>
    </row>
    <row r="11804" spans="4:4" x14ac:dyDescent="0.45">
      <c r="D11804" s="47"/>
    </row>
    <row r="11805" spans="4:4" x14ac:dyDescent="0.45">
      <c r="D11805" s="47"/>
    </row>
    <row r="11806" spans="4:4" x14ac:dyDescent="0.45">
      <c r="D11806" s="47"/>
    </row>
    <row r="11807" spans="4:4" x14ac:dyDescent="0.45">
      <c r="D11807" s="47"/>
    </row>
    <row r="11808" spans="4:4" x14ac:dyDescent="0.45">
      <c r="D11808" s="47"/>
    </row>
    <row r="11809" spans="4:4" x14ac:dyDescent="0.45">
      <c r="D11809" s="47"/>
    </row>
    <row r="11810" spans="4:4" x14ac:dyDescent="0.45">
      <c r="D11810" s="47"/>
    </row>
    <row r="11811" spans="4:4" x14ac:dyDescent="0.45">
      <c r="D11811" s="47"/>
    </row>
    <row r="11812" spans="4:4" x14ac:dyDescent="0.45">
      <c r="D11812" s="47"/>
    </row>
    <row r="11813" spans="4:4" x14ac:dyDescent="0.45">
      <c r="D11813" s="47"/>
    </row>
    <row r="11814" spans="4:4" x14ac:dyDescent="0.45">
      <c r="D11814" s="47"/>
    </row>
    <row r="11815" spans="4:4" x14ac:dyDescent="0.45">
      <c r="D11815" s="47"/>
    </row>
    <row r="11816" spans="4:4" x14ac:dyDescent="0.45">
      <c r="D11816" s="47"/>
    </row>
    <row r="11817" spans="4:4" x14ac:dyDescent="0.45">
      <c r="D11817" s="47"/>
    </row>
    <row r="11818" spans="4:4" x14ac:dyDescent="0.45">
      <c r="D11818" s="47"/>
    </row>
    <row r="11819" spans="4:4" x14ac:dyDescent="0.45">
      <c r="D11819" s="47"/>
    </row>
    <row r="11820" spans="4:4" x14ac:dyDescent="0.45">
      <c r="D11820" s="47"/>
    </row>
    <row r="11821" spans="4:4" x14ac:dyDescent="0.45">
      <c r="D11821" s="47"/>
    </row>
    <row r="11822" spans="4:4" x14ac:dyDescent="0.45">
      <c r="D11822" s="47"/>
    </row>
    <row r="11823" spans="4:4" x14ac:dyDescent="0.45">
      <c r="D11823" s="47"/>
    </row>
    <row r="11824" spans="4:4" x14ac:dyDescent="0.45">
      <c r="D11824" s="47"/>
    </row>
    <row r="11825" spans="4:4" x14ac:dyDescent="0.45">
      <c r="D11825" s="47"/>
    </row>
    <row r="11826" spans="4:4" x14ac:dyDescent="0.45">
      <c r="D11826" s="47"/>
    </row>
    <row r="11827" spans="4:4" x14ac:dyDescent="0.45">
      <c r="D11827" s="47"/>
    </row>
    <row r="11828" spans="4:4" x14ac:dyDescent="0.45">
      <c r="D11828" s="47"/>
    </row>
    <row r="11829" spans="4:4" x14ac:dyDescent="0.45">
      <c r="D11829" s="47"/>
    </row>
    <row r="11830" spans="4:4" x14ac:dyDescent="0.45">
      <c r="D11830" s="47"/>
    </row>
    <row r="11831" spans="4:4" x14ac:dyDescent="0.45">
      <c r="D11831" s="47"/>
    </row>
    <row r="11832" spans="4:4" x14ac:dyDescent="0.45">
      <c r="D11832" s="47"/>
    </row>
    <row r="11833" spans="4:4" x14ac:dyDescent="0.45">
      <c r="D11833" s="47"/>
    </row>
    <row r="11834" spans="4:4" x14ac:dyDescent="0.45">
      <c r="D11834" s="47"/>
    </row>
    <row r="11835" spans="4:4" x14ac:dyDescent="0.45">
      <c r="D11835" s="47"/>
    </row>
    <row r="11836" spans="4:4" x14ac:dyDescent="0.45">
      <c r="D11836" s="47"/>
    </row>
    <row r="11837" spans="4:4" x14ac:dyDescent="0.45">
      <c r="D11837" s="47"/>
    </row>
    <row r="11838" spans="4:4" x14ac:dyDescent="0.45">
      <c r="D11838" s="47"/>
    </row>
    <row r="11839" spans="4:4" x14ac:dyDescent="0.45">
      <c r="D11839" s="47"/>
    </row>
    <row r="11840" spans="4:4" x14ac:dyDescent="0.45">
      <c r="D11840" s="47"/>
    </row>
    <row r="11841" spans="4:4" x14ac:dyDescent="0.45">
      <c r="D11841" s="47"/>
    </row>
    <row r="11842" spans="4:4" x14ac:dyDescent="0.45">
      <c r="D11842" s="47"/>
    </row>
    <row r="11843" spans="4:4" x14ac:dyDescent="0.45">
      <c r="D11843" s="47"/>
    </row>
    <row r="11844" spans="4:4" x14ac:dyDescent="0.45">
      <c r="D11844" s="47"/>
    </row>
    <row r="11845" spans="4:4" x14ac:dyDescent="0.45">
      <c r="D11845" s="47"/>
    </row>
    <row r="11846" spans="4:4" x14ac:dyDescent="0.45">
      <c r="D11846" s="47"/>
    </row>
    <row r="11847" spans="4:4" x14ac:dyDescent="0.45">
      <c r="D11847" s="47"/>
    </row>
    <row r="11848" spans="4:4" x14ac:dyDescent="0.45">
      <c r="D11848" s="47"/>
    </row>
    <row r="11849" spans="4:4" x14ac:dyDescent="0.45">
      <c r="D11849" s="47"/>
    </row>
    <row r="11850" spans="4:4" x14ac:dyDescent="0.45">
      <c r="D11850" s="47"/>
    </row>
    <row r="11851" spans="4:4" x14ac:dyDescent="0.45">
      <c r="D11851" s="47"/>
    </row>
    <row r="11852" spans="4:4" x14ac:dyDescent="0.45">
      <c r="D11852" s="47"/>
    </row>
    <row r="11853" spans="4:4" x14ac:dyDescent="0.45">
      <c r="D11853" s="47"/>
    </row>
    <row r="11854" spans="4:4" x14ac:dyDescent="0.45">
      <c r="D11854" s="47"/>
    </row>
    <row r="11855" spans="4:4" x14ac:dyDescent="0.45">
      <c r="D11855" s="47"/>
    </row>
    <row r="11856" spans="4:4" x14ac:dyDescent="0.45">
      <c r="D11856" s="47"/>
    </row>
    <row r="11857" spans="4:4" x14ac:dyDescent="0.45">
      <c r="D11857" s="47"/>
    </row>
    <row r="11858" spans="4:4" x14ac:dyDescent="0.45">
      <c r="D11858" s="47"/>
    </row>
    <row r="11859" spans="4:4" x14ac:dyDescent="0.45">
      <c r="D11859" s="47"/>
    </row>
    <row r="11860" spans="4:4" x14ac:dyDescent="0.45">
      <c r="D11860" s="47"/>
    </row>
    <row r="11861" spans="4:4" x14ac:dyDescent="0.45">
      <c r="D11861" s="47"/>
    </row>
    <row r="11862" spans="4:4" x14ac:dyDescent="0.45">
      <c r="D11862" s="47"/>
    </row>
    <row r="11863" spans="4:4" x14ac:dyDescent="0.45">
      <c r="D11863" s="47"/>
    </row>
    <row r="11864" spans="4:4" x14ac:dyDescent="0.45">
      <c r="D11864" s="47"/>
    </row>
    <row r="11865" spans="4:4" x14ac:dyDescent="0.45">
      <c r="D11865" s="47"/>
    </row>
    <row r="11866" spans="4:4" x14ac:dyDescent="0.45">
      <c r="D11866" s="47"/>
    </row>
    <row r="11867" spans="4:4" x14ac:dyDescent="0.45">
      <c r="D11867" s="47"/>
    </row>
    <row r="11868" spans="4:4" x14ac:dyDescent="0.45">
      <c r="D11868" s="47"/>
    </row>
    <row r="11869" spans="4:4" x14ac:dyDescent="0.45">
      <c r="D11869" s="47"/>
    </row>
    <row r="11870" spans="4:4" x14ac:dyDescent="0.45">
      <c r="D11870" s="47"/>
    </row>
    <row r="11871" spans="4:4" x14ac:dyDescent="0.45">
      <c r="D11871" s="47"/>
    </row>
    <row r="11872" spans="4:4" x14ac:dyDescent="0.45">
      <c r="D11872" s="47"/>
    </row>
    <row r="11873" spans="4:4" x14ac:dyDescent="0.45">
      <c r="D11873" s="47"/>
    </row>
    <row r="11874" spans="4:4" x14ac:dyDescent="0.45">
      <c r="D11874" s="47"/>
    </row>
    <row r="11875" spans="4:4" x14ac:dyDescent="0.45">
      <c r="D11875" s="47"/>
    </row>
    <row r="11876" spans="4:4" x14ac:dyDescent="0.45">
      <c r="D11876" s="47"/>
    </row>
    <row r="11877" spans="4:4" x14ac:dyDescent="0.45">
      <c r="D11877" s="47"/>
    </row>
    <row r="11878" spans="4:4" x14ac:dyDescent="0.45">
      <c r="D11878" s="47"/>
    </row>
    <row r="11879" spans="4:4" x14ac:dyDescent="0.45">
      <c r="D11879" s="47"/>
    </row>
    <row r="11880" spans="4:4" x14ac:dyDescent="0.45">
      <c r="D11880" s="47"/>
    </row>
    <row r="11881" spans="4:4" x14ac:dyDescent="0.45">
      <c r="D11881" s="47"/>
    </row>
    <row r="11882" spans="4:4" x14ac:dyDescent="0.45">
      <c r="D11882" s="47"/>
    </row>
    <row r="11883" spans="4:4" x14ac:dyDescent="0.45">
      <c r="D11883" s="47"/>
    </row>
    <row r="11884" spans="4:4" x14ac:dyDescent="0.45">
      <c r="D11884" s="47"/>
    </row>
    <row r="11885" spans="4:4" x14ac:dyDescent="0.45">
      <c r="D11885" s="47"/>
    </row>
    <row r="11886" spans="4:4" x14ac:dyDescent="0.45">
      <c r="D11886" s="47"/>
    </row>
    <row r="11887" spans="4:4" x14ac:dyDescent="0.45">
      <c r="D11887" s="47"/>
    </row>
    <row r="11888" spans="4:4" x14ac:dyDescent="0.45">
      <c r="D11888" s="47"/>
    </row>
    <row r="11889" spans="4:4" x14ac:dyDescent="0.45">
      <c r="D11889" s="47"/>
    </row>
    <row r="11890" spans="4:4" x14ac:dyDescent="0.45">
      <c r="D11890" s="47"/>
    </row>
    <row r="11891" spans="4:4" x14ac:dyDescent="0.45">
      <c r="D11891" s="47"/>
    </row>
    <row r="11892" spans="4:4" x14ac:dyDescent="0.45">
      <c r="D11892" s="47"/>
    </row>
    <row r="11893" spans="4:4" x14ac:dyDescent="0.45">
      <c r="D11893" s="47"/>
    </row>
    <row r="11894" spans="4:4" x14ac:dyDescent="0.45">
      <c r="D11894" s="47"/>
    </row>
    <row r="11895" spans="4:4" x14ac:dyDescent="0.45">
      <c r="D11895" s="47"/>
    </row>
    <row r="11896" spans="4:4" x14ac:dyDescent="0.45">
      <c r="D11896" s="47"/>
    </row>
    <row r="11897" spans="4:4" x14ac:dyDescent="0.45">
      <c r="D11897" s="47"/>
    </row>
    <row r="11898" spans="4:4" x14ac:dyDescent="0.45">
      <c r="D11898" s="47"/>
    </row>
    <row r="11899" spans="4:4" x14ac:dyDescent="0.45">
      <c r="D11899" s="47"/>
    </row>
    <row r="11900" spans="4:4" x14ac:dyDescent="0.45">
      <c r="D11900" s="47"/>
    </row>
    <row r="11901" spans="4:4" x14ac:dyDescent="0.45">
      <c r="D11901" s="47"/>
    </row>
    <row r="11902" spans="4:4" x14ac:dyDescent="0.45">
      <c r="D11902" s="47"/>
    </row>
    <row r="11903" spans="4:4" x14ac:dyDescent="0.45">
      <c r="D11903" s="47"/>
    </row>
    <row r="11904" spans="4:4" x14ac:dyDescent="0.45">
      <c r="D11904" s="47"/>
    </row>
    <row r="11905" spans="4:4" x14ac:dyDescent="0.45">
      <c r="D11905" s="47"/>
    </row>
    <row r="11906" spans="4:4" x14ac:dyDescent="0.45">
      <c r="D11906" s="47"/>
    </row>
    <row r="11907" spans="4:4" x14ac:dyDescent="0.45">
      <c r="D11907" s="47"/>
    </row>
    <row r="11908" spans="4:4" x14ac:dyDescent="0.45">
      <c r="D11908" s="47"/>
    </row>
    <row r="11909" spans="4:4" x14ac:dyDescent="0.45">
      <c r="D11909" s="47"/>
    </row>
    <row r="11910" spans="4:4" x14ac:dyDescent="0.45">
      <c r="D11910" s="47"/>
    </row>
    <row r="11911" spans="4:4" x14ac:dyDescent="0.45">
      <c r="D11911" s="47"/>
    </row>
    <row r="11912" spans="4:4" x14ac:dyDescent="0.45">
      <c r="D11912" s="47"/>
    </row>
    <row r="11913" spans="4:4" x14ac:dyDescent="0.45">
      <c r="D11913" s="47"/>
    </row>
    <row r="11914" spans="4:4" x14ac:dyDescent="0.45">
      <c r="D11914" s="47"/>
    </row>
    <row r="11915" spans="4:4" x14ac:dyDescent="0.45">
      <c r="D11915" s="47"/>
    </row>
    <row r="11916" spans="4:4" x14ac:dyDescent="0.45">
      <c r="D11916" s="47"/>
    </row>
    <row r="11917" spans="4:4" x14ac:dyDescent="0.45">
      <c r="D11917" s="47"/>
    </row>
    <row r="11918" spans="4:4" x14ac:dyDescent="0.45">
      <c r="D11918" s="47"/>
    </row>
    <row r="11919" spans="4:4" x14ac:dyDescent="0.45">
      <c r="D11919" s="47"/>
    </row>
    <row r="11920" spans="4:4" x14ac:dyDescent="0.45">
      <c r="D11920" s="47"/>
    </row>
    <row r="11921" spans="4:4" x14ac:dyDescent="0.45">
      <c r="D11921" s="47"/>
    </row>
    <row r="11922" spans="4:4" x14ac:dyDescent="0.45">
      <c r="D11922" s="47"/>
    </row>
    <row r="11923" spans="4:4" x14ac:dyDescent="0.45">
      <c r="D11923" s="47"/>
    </row>
    <row r="11924" spans="4:4" x14ac:dyDescent="0.45">
      <c r="D11924" s="47"/>
    </row>
    <row r="11925" spans="4:4" x14ac:dyDescent="0.45">
      <c r="D11925" s="47"/>
    </row>
    <row r="11926" spans="4:4" x14ac:dyDescent="0.45">
      <c r="D11926" s="47"/>
    </row>
    <row r="11927" spans="4:4" x14ac:dyDescent="0.45">
      <c r="D11927" s="47"/>
    </row>
    <row r="11928" spans="4:4" x14ac:dyDescent="0.45">
      <c r="D11928" s="47"/>
    </row>
    <row r="11929" spans="4:4" x14ac:dyDescent="0.45">
      <c r="D11929" s="47"/>
    </row>
    <row r="11930" spans="4:4" x14ac:dyDescent="0.45">
      <c r="D11930" s="47"/>
    </row>
    <row r="11931" spans="4:4" x14ac:dyDescent="0.45">
      <c r="D11931" s="47"/>
    </row>
    <row r="11932" spans="4:4" x14ac:dyDescent="0.45">
      <c r="D11932" s="47"/>
    </row>
    <row r="11933" spans="4:4" x14ac:dyDescent="0.45">
      <c r="D11933" s="47"/>
    </row>
    <row r="11934" spans="4:4" x14ac:dyDescent="0.45">
      <c r="D11934" s="47"/>
    </row>
    <row r="11935" spans="4:4" x14ac:dyDescent="0.45">
      <c r="D11935" s="47"/>
    </row>
    <row r="11936" spans="4:4" x14ac:dyDescent="0.45">
      <c r="D11936" s="47"/>
    </row>
    <row r="11937" spans="4:4" x14ac:dyDescent="0.45">
      <c r="D11937" s="47"/>
    </row>
    <row r="11938" spans="4:4" x14ac:dyDescent="0.45">
      <c r="D11938" s="47"/>
    </row>
    <row r="11939" spans="4:4" x14ac:dyDescent="0.45">
      <c r="D11939" s="47"/>
    </row>
    <row r="11940" spans="4:4" x14ac:dyDescent="0.45">
      <c r="D11940" s="47"/>
    </row>
    <row r="11941" spans="4:4" x14ac:dyDescent="0.45">
      <c r="D11941" s="47"/>
    </row>
    <row r="11942" spans="4:4" x14ac:dyDescent="0.45">
      <c r="D11942" s="47"/>
    </row>
    <row r="11943" spans="4:4" x14ac:dyDescent="0.45">
      <c r="D11943" s="47"/>
    </row>
    <row r="11944" spans="4:4" x14ac:dyDescent="0.45">
      <c r="D11944" s="47"/>
    </row>
    <row r="11945" spans="4:4" x14ac:dyDescent="0.45">
      <c r="D11945" s="47"/>
    </row>
    <row r="11946" spans="4:4" x14ac:dyDescent="0.45">
      <c r="D11946" s="47"/>
    </row>
    <row r="11947" spans="4:4" x14ac:dyDescent="0.45">
      <c r="D11947" s="47"/>
    </row>
    <row r="11948" spans="4:4" x14ac:dyDescent="0.45">
      <c r="D11948" s="47"/>
    </row>
    <row r="11949" spans="4:4" x14ac:dyDescent="0.45">
      <c r="D11949" s="47"/>
    </row>
    <row r="11950" spans="4:4" x14ac:dyDescent="0.45">
      <c r="D11950" s="47"/>
    </row>
    <row r="11951" spans="4:4" x14ac:dyDescent="0.45">
      <c r="D11951" s="47"/>
    </row>
    <row r="11952" spans="4:4" x14ac:dyDescent="0.45">
      <c r="D11952" s="47"/>
    </row>
    <row r="11953" spans="4:4" x14ac:dyDescent="0.45">
      <c r="D11953" s="47"/>
    </row>
    <row r="11954" spans="4:4" x14ac:dyDescent="0.45">
      <c r="D11954" s="47"/>
    </row>
    <row r="11955" spans="4:4" x14ac:dyDescent="0.45">
      <c r="D11955" s="47"/>
    </row>
    <row r="11956" spans="4:4" x14ac:dyDescent="0.45">
      <c r="D11956" s="47"/>
    </row>
    <row r="11957" spans="4:4" x14ac:dyDescent="0.45">
      <c r="D11957" s="47"/>
    </row>
    <row r="11958" spans="4:4" x14ac:dyDescent="0.45">
      <c r="D11958" s="47"/>
    </row>
    <row r="11959" spans="4:4" x14ac:dyDescent="0.45">
      <c r="D11959" s="47"/>
    </row>
    <row r="11960" spans="4:4" x14ac:dyDescent="0.45">
      <c r="D11960" s="47"/>
    </row>
    <row r="11961" spans="4:4" x14ac:dyDescent="0.45">
      <c r="D11961" s="47"/>
    </row>
    <row r="11962" spans="4:4" x14ac:dyDescent="0.45">
      <c r="D11962" s="47"/>
    </row>
    <row r="11963" spans="4:4" x14ac:dyDescent="0.45">
      <c r="D11963" s="47"/>
    </row>
    <row r="11964" spans="4:4" x14ac:dyDescent="0.45">
      <c r="D11964" s="47"/>
    </row>
    <row r="11965" spans="4:4" x14ac:dyDescent="0.45">
      <c r="D11965" s="47"/>
    </row>
    <row r="11966" spans="4:4" x14ac:dyDescent="0.45">
      <c r="D11966" s="47"/>
    </row>
    <row r="11967" spans="4:4" x14ac:dyDescent="0.45">
      <c r="D11967" s="47"/>
    </row>
    <row r="11968" spans="4:4" x14ac:dyDescent="0.45">
      <c r="D11968" s="47"/>
    </row>
    <row r="11969" spans="4:4" x14ac:dyDescent="0.45">
      <c r="D11969" s="47"/>
    </row>
    <row r="11970" spans="4:4" x14ac:dyDescent="0.45">
      <c r="D11970" s="47"/>
    </row>
    <row r="11971" spans="4:4" x14ac:dyDescent="0.45">
      <c r="D11971" s="47"/>
    </row>
    <row r="11972" spans="4:4" x14ac:dyDescent="0.45">
      <c r="D11972" s="47"/>
    </row>
    <row r="11973" spans="4:4" x14ac:dyDescent="0.45">
      <c r="D11973" s="47"/>
    </row>
    <row r="11974" spans="4:4" x14ac:dyDescent="0.45">
      <c r="D11974" s="47"/>
    </row>
    <row r="11975" spans="4:4" x14ac:dyDescent="0.45">
      <c r="D11975" s="47"/>
    </row>
    <row r="11976" spans="4:4" x14ac:dyDescent="0.45">
      <c r="D11976" s="47"/>
    </row>
    <row r="11977" spans="4:4" x14ac:dyDescent="0.45">
      <c r="D11977" s="47"/>
    </row>
    <row r="11978" spans="4:4" x14ac:dyDescent="0.45">
      <c r="D11978" s="47"/>
    </row>
    <row r="11979" spans="4:4" x14ac:dyDescent="0.45">
      <c r="D11979" s="47"/>
    </row>
    <row r="11980" spans="4:4" x14ac:dyDescent="0.45">
      <c r="D11980" s="47"/>
    </row>
    <row r="11981" spans="4:4" x14ac:dyDescent="0.45">
      <c r="D11981" s="47"/>
    </row>
    <row r="11982" spans="4:4" x14ac:dyDescent="0.45">
      <c r="D11982" s="47"/>
    </row>
    <row r="11983" spans="4:4" x14ac:dyDescent="0.45">
      <c r="D11983" s="47"/>
    </row>
    <row r="11984" spans="4:4" x14ac:dyDescent="0.45">
      <c r="D11984" s="47"/>
    </row>
    <row r="11985" spans="4:4" x14ac:dyDescent="0.45">
      <c r="D11985" s="47"/>
    </row>
    <row r="11986" spans="4:4" x14ac:dyDescent="0.45">
      <c r="D11986" s="47"/>
    </row>
    <row r="11987" spans="4:4" x14ac:dyDescent="0.45">
      <c r="D11987" s="47"/>
    </row>
    <row r="11988" spans="4:4" x14ac:dyDescent="0.45">
      <c r="D11988" s="47"/>
    </row>
    <row r="11989" spans="4:4" x14ac:dyDescent="0.45">
      <c r="D11989" s="47"/>
    </row>
    <row r="11990" spans="4:4" x14ac:dyDescent="0.45">
      <c r="D11990" s="47"/>
    </row>
    <row r="11991" spans="4:4" x14ac:dyDescent="0.45">
      <c r="D11991" s="47"/>
    </row>
    <row r="11992" spans="4:4" x14ac:dyDescent="0.45">
      <c r="D11992" s="47"/>
    </row>
    <row r="11993" spans="4:4" x14ac:dyDescent="0.45">
      <c r="D11993" s="47"/>
    </row>
    <row r="11994" spans="4:4" x14ac:dyDescent="0.45">
      <c r="D11994" s="47"/>
    </row>
    <row r="11995" spans="4:4" x14ac:dyDescent="0.45">
      <c r="D11995" s="47"/>
    </row>
    <row r="11996" spans="4:4" x14ac:dyDescent="0.45">
      <c r="D11996" s="47"/>
    </row>
    <row r="11997" spans="4:4" x14ac:dyDescent="0.45">
      <c r="D11997" s="47"/>
    </row>
    <row r="11998" spans="4:4" x14ac:dyDescent="0.45">
      <c r="D11998" s="47"/>
    </row>
    <row r="11999" spans="4:4" x14ac:dyDescent="0.45">
      <c r="D11999" s="47"/>
    </row>
    <row r="12000" spans="4:4" x14ac:dyDescent="0.45">
      <c r="D12000" s="47"/>
    </row>
    <row r="12001" spans="4:4" x14ac:dyDescent="0.45">
      <c r="D12001" s="47"/>
    </row>
    <row r="12002" spans="4:4" x14ac:dyDescent="0.45">
      <c r="D12002" s="47"/>
    </row>
    <row r="12003" spans="4:4" x14ac:dyDescent="0.45">
      <c r="D12003" s="47"/>
    </row>
    <row r="12004" spans="4:4" x14ac:dyDescent="0.45">
      <c r="D12004" s="47"/>
    </row>
    <row r="12005" spans="4:4" x14ac:dyDescent="0.45">
      <c r="D12005" s="47"/>
    </row>
    <row r="12006" spans="4:4" x14ac:dyDescent="0.45">
      <c r="D12006" s="47"/>
    </row>
    <row r="12007" spans="4:4" x14ac:dyDescent="0.45">
      <c r="D12007" s="47"/>
    </row>
    <row r="12008" spans="4:4" x14ac:dyDescent="0.45">
      <c r="D12008" s="47"/>
    </row>
    <row r="12009" spans="4:4" x14ac:dyDescent="0.45">
      <c r="D12009" s="47"/>
    </row>
    <row r="12010" spans="4:4" x14ac:dyDescent="0.45">
      <c r="D12010" s="47"/>
    </row>
    <row r="12011" spans="4:4" x14ac:dyDescent="0.45">
      <c r="D12011" s="47"/>
    </row>
    <row r="12012" spans="4:4" x14ac:dyDescent="0.45">
      <c r="D12012" s="47"/>
    </row>
    <row r="12013" spans="4:4" x14ac:dyDescent="0.45">
      <c r="D12013" s="47"/>
    </row>
    <row r="12014" spans="4:4" x14ac:dyDescent="0.45">
      <c r="D12014" s="47"/>
    </row>
    <row r="12015" spans="4:4" x14ac:dyDescent="0.45">
      <c r="D12015" s="47"/>
    </row>
    <row r="12016" spans="4:4" x14ac:dyDescent="0.45">
      <c r="D12016" s="47"/>
    </row>
    <row r="12017" spans="4:4" x14ac:dyDescent="0.45">
      <c r="D12017" s="47"/>
    </row>
    <row r="12018" spans="4:4" x14ac:dyDescent="0.45">
      <c r="D12018" s="47"/>
    </row>
    <row r="12019" spans="4:4" x14ac:dyDescent="0.45">
      <c r="D12019" s="47"/>
    </row>
    <row r="12020" spans="4:4" x14ac:dyDescent="0.45">
      <c r="D12020" s="47"/>
    </row>
    <row r="12021" spans="4:4" x14ac:dyDescent="0.45">
      <c r="D12021" s="47"/>
    </row>
    <row r="12022" spans="4:4" x14ac:dyDescent="0.45">
      <c r="D12022" s="47"/>
    </row>
    <row r="12023" spans="4:4" x14ac:dyDescent="0.45">
      <c r="D12023" s="47"/>
    </row>
    <row r="12024" spans="4:4" x14ac:dyDescent="0.45">
      <c r="D12024" s="47"/>
    </row>
    <row r="12025" spans="4:4" x14ac:dyDescent="0.45">
      <c r="D12025" s="47"/>
    </row>
    <row r="12026" spans="4:4" x14ac:dyDescent="0.45">
      <c r="D12026" s="47"/>
    </row>
    <row r="12027" spans="4:4" x14ac:dyDescent="0.45">
      <c r="D12027" s="47"/>
    </row>
    <row r="12028" spans="4:4" x14ac:dyDescent="0.45">
      <c r="D12028" s="47"/>
    </row>
    <row r="12029" spans="4:4" x14ac:dyDescent="0.45">
      <c r="D12029" s="47"/>
    </row>
    <row r="12030" spans="4:4" x14ac:dyDescent="0.45">
      <c r="D12030" s="47"/>
    </row>
    <row r="12031" spans="4:4" x14ac:dyDescent="0.45">
      <c r="D12031" s="47"/>
    </row>
    <row r="12032" spans="4:4" x14ac:dyDescent="0.45">
      <c r="D12032" s="47"/>
    </row>
    <row r="12033" spans="4:4" x14ac:dyDescent="0.45">
      <c r="D12033" s="47"/>
    </row>
    <row r="12034" spans="4:4" x14ac:dyDescent="0.45">
      <c r="D12034" s="47"/>
    </row>
    <row r="12035" spans="4:4" x14ac:dyDescent="0.45">
      <c r="D12035" s="47"/>
    </row>
    <row r="12036" spans="4:4" x14ac:dyDescent="0.45">
      <c r="D12036" s="47"/>
    </row>
    <row r="12037" spans="4:4" x14ac:dyDescent="0.45">
      <c r="D12037" s="47"/>
    </row>
    <row r="12038" spans="4:4" x14ac:dyDescent="0.45">
      <c r="D12038" s="47"/>
    </row>
    <row r="12039" spans="4:4" x14ac:dyDescent="0.45">
      <c r="D12039" s="47"/>
    </row>
    <row r="12040" spans="4:4" x14ac:dyDescent="0.45">
      <c r="D12040" s="47"/>
    </row>
    <row r="12041" spans="4:4" x14ac:dyDescent="0.45">
      <c r="D12041" s="47"/>
    </row>
    <row r="12042" spans="4:4" x14ac:dyDescent="0.45">
      <c r="D12042" s="47"/>
    </row>
    <row r="12043" spans="4:4" x14ac:dyDescent="0.45">
      <c r="D12043" s="47"/>
    </row>
    <row r="12044" spans="4:4" x14ac:dyDescent="0.45">
      <c r="D12044" s="47"/>
    </row>
    <row r="12045" spans="4:4" x14ac:dyDescent="0.45">
      <c r="D12045" s="47"/>
    </row>
    <row r="12046" spans="4:4" x14ac:dyDescent="0.45">
      <c r="D12046" s="47"/>
    </row>
    <row r="12047" spans="4:4" x14ac:dyDescent="0.45">
      <c r="D12047" s="47"/>
    </row>
    <row r="12048" spans="4:4" x14ac:dyDescent="0.45">
      <c r="D12048" s="47"/>
    </row>
    <row r="12049" spans="4:4" x14ac:dyDescent="0.45">
      <c r="D12049" s="47"/>
    </row>
    <row r="12050" spans="4:4" x14ac:dyDescent="0.45">
      <c r="D12050" s="47"/>
    </row>
    <row r="12051" spans="4:4" x14ac:dyDescent="0.45">
      <c r="D12051" s="47"/>
    </row>
    <row r="12052" spans="4:4" x14ac:dyDescent="0.45">
      <c r="D12052" s="47"/>
    </row>
    <row r="12053" spans="4:4" x14ac:dyDescent="0.45">
      <c r="D12053" s="47"/>
    </row>
    <row r="12054" spans="4:4" x14ac:dyDescent="0.45">
      <c r="D12054" s="47"/>
    </row>
    <row r="12055" spans="4:4" x14ac:dyDescent="0.45">
      <c r="D12055" s="47"/>
    </row>
    <row r="12056" spans="4:4" x14ac:dyDescent="0.45">
      <c r="D12056" s="47"/>
    </row>
    <row r="12057" spans="4:4" x14ac:dyDescent="0.45">
      <c r="D12057" s="47"/>
    </row>
    <row r="12058" spans="4:4" x14ac:dyDescent="0.45">
      <c r="D12058" s="47"/>
    </row>
    <row r="12059" spans="4:4" x14ac:dyDescent="0.45">
      <c r="D12059" s="47"/>
    </row>
    <row r="12060" spans="4:4" x14ac:dyDescent="0.45">
      <c r="D12060" s="47"/>
    </row>
    <row r="12061" spans="4:4" x14ac:dyDescent="0.45">
      <c r="D12061" s="47"/>
    </row>
    <row r="12062" spans="4:4" x14ac:dyDescent="0.45">
      <c r="D12062" s="47"/>
    </row>
    <row r="12063" spans="4:4" x14ac:dyDescent="0.45">
      <c r="D12063" s="47"/>
    </row>
    <row r="12064" spans="4:4" x14ac:dyDescent="0.45">
      <c r="D12064" s="47"/>
    </row>
    <row r="12065" spans="4:4" x14ac:dyDescent="0.45">
      <c r="D12065" s="47"/>
    </row>
    <row r="12066" spans="4:4" x14ac:dyDescent="0.45">
      <c r="D12066" s="47"/>
    </row>
    <row r="12067" spans="4:4" x14ac:dyDescent="0.45">
      <c r="D12067" s="47"/>
    </row>
    <row r="12068" spans="4:4" x14ac:dyDescent="0.45">
      <c r="D12068" s="47"/>
    </row>
    <row r="12069" spans="4:4" x14ac:dyDescent="0.45">
      <c r="D12069" s="47"/>
    </row>
    <row r="12070" spans="4:4" x14ac:dyDescent="0.45">
      <c r="D12070" s="47"/>
    </row>
    <row r="12071" spans="4:4" x14ac:dyDescent="0.45">
      <c r="D12071" s="47"/>
    </row>
    <row r="12072" spans="4:4" x14ac:dyDescent="0.45">
      <c r="D12072" s="47"/>
    </row>
    <row r="12073" spans="4:4" x14ac:dyDescent="0.45">
      <c r="D12073" s="47"/>
    </row>
    <row r="12074" spans="4:4" x14ac:dyDescent="0.45">
      <c r="D12074" s="47"/>
    </row>
    <row r="12075" spans="4:4" x14ac:dyDescent="0.45">
      <c r="D12075" s="47"/>
    </row>
    <row r="12076" spans="4:4" x14ac:dyDescent="0.45">
      <c r="D12076" s="47"/>
    </row>
    <row r="12077" spans="4:4" x14ac:dyDescent="0.45">
      <c r="D12077" s="47"/>
    </row>
    <row r="12078" spans="4:4" x14ac:dyDescent="0.45">
      <c r="D12078" s="47"/>
    </row>
    <row r="12079" spans="4:4" x14ac:dyDescent="0.45">
      <c r="D12079" s="47"/>
    </row>
    <row r="12080" spans="4:4" x14ac:dyDescent="0.45">
      <c r="D12080" s="47"/>
    </row>
    <row r="12081" spans="4:4" x14ac:dyDescent="0.45">
      <c r="D12081" s="47"/>
    </row>
    <row r="12082" spans="4:4" x14ac:dyDescent="0.45">
      <c r="D12082" s="47"/>
    </row>
    <row r="12083" spans="4:4" x14ac:dyDescent="0.45">
      <c r="D12083" s="47"/>
    </row>
    <row r="12084" spans="4:4" x14ac:dyDescent="0.45">
      <c r="D12084" s="47"/>
    </row>
    <row r="12085" spans="4:4" x14ac:dyDescent="0.45">
      <c r="D12085" s="47"/>
    </row>
    <row r="12086" spans="4:4" x14ac:dyDescent="0.45">
      <c r="D12086" s="47"/>
    </row>
    <row r="12087" spans="4:4" x14ac:dyDescent="0.45">
      <c r="D12087" s="47"/>
    </row>
    <row r="12088" spans="4:4" x14ac:dyDescent="0.45">
      <c r="D12088" s="47"/>
    </row>
    <row r="12089" spans="4:4" x14ac:dyDescent="0.45">
      <c r="D12089" s="47"/>
    </row>
    <row r="12090" spans="4:4" x14ac:dyDescent="0.45">
      <c r="D12090" s="47"/>
    </row>
    <row r="12091" spans="4:4" x14ac:dyDescent="0.45">
      <c r="D12091" s="47"/>
    </row>
    <row r="12092" spans="4:4" x14ac:dyDescent="0.45">
      <c r="D12092" s="47"/>
    </row>
    <row r="12093" spans="4:4" x14ac:dyDescent="0.45">
      <c r="D12093" s="47"/>
    </row>
    <row r="12094" spans="4:4" x14ac:dyDescent="0.45">
      <c r="D12094" s="47"/>
    </row>
    <row r="12095" spans="4:4" x14ac:dyDescent="0.45">
      <c r="D12095" s="47"/>
    </row>
    <row r="12096" spans="4:4" x14ac:dyDescent="0.45">
      <c r="D12096" s="47"/>
    </row>
    <row r="12097" spans="4:4" x14ac:dyDescent="0.45">
      <c r="D12097" s="47"/>
    </row>
    <row r="12098" spans="4:4" x14ac:dyDescent="0.45">
      <c r="D12098" s="47"/>
    </row>
    <row r="12099" spans="4:4" x14ac:dyDescent="0.45">
      <c r="D12099" s="47"/>
    </row>
    <row r="12100" spans="4:4" x14ac:dyDescent="0.45">
      <c r="D12100" s="47"/>
    </row>
    <row r="12101" spans="4:4" x14ac:dyDescent="0.45">
      <c r="D12101" s="47"/>
    </row>
    <row r="12102" spans="4:4" x14ac:dyDescent="0.45">
      <c r="D12102" s="47"/>
    </row>
    <row r="12103" spans="4:4" x14ac:dyDescent="0.45">
      <c r="D12103" s="47"/>
    </row>
    <row r="12104" spans="4:4" x14ac:dyDescent="0.45">
      <c r="D12104" s="47"/>
    </row>
    <row r="12105" spans="4:4" x14ac:dyDescent="0.45">
      <c r="D12105" s="47"/>
    </row>
    <row r="12106" spans="4:4" x14ac:dyDescent="0.45">
      <c r="D12106" s="47"/>
    </row>
    <row r="12107" spans="4:4" x14ac:dyDescent="0.45">
      <c r="D12107" s="47"/>
    </row>
    <row r="12108" spans="4:4" x14ac:dyDescent="0.45">
      <c r="D12108" s="47"/>
    </row>
    <row r="12109" spans="4:4" x14ac:dyDescent="0.45">
      <c r="D12109" s="47"/>
    </row>
    <row r="12110" spans="4:4" x14ac:dyDescent="0.45">
      <c r="D12110" s="47"/>
    </row>
    <row r="12111" spans="4:4" x14ac:dyDescent="0.45">
      <c r="D12111" s="47"/>
    </row>
    <row r="12112" spans="4:4" x14ac:dyDescent="0.45">
      <c r="D12112" s="47"/>
    </row>
    <row r="12113" spans="4:4" x14ac:dyDescent="0.45">
      <c r="D12113" s="47"/>
    </row>
    <row r="12114" spans="4:4" x14ac:dyDescent="0.45">
      <c r="D12114" s="47"/>
    </row>
    <row r="12115" spans="4:4" x14ac:dyDescent="0.45">
      <c r="D12115" s="47"/>
    </row>
    <row r="12116" spans="4:4" x14ac:dyDescent="0.45">
      <c r="D12116" s="47"/>
    </row>
    <row r="12117" spans="4:4" x14ac:dyDescent="0.45">
      <c r="D12117" s="47"/>
    </row>
    <row r="12118" spans="4:4" x14ac:dyDescent="0.45">
      <c r="D12118" s="47"/>
    </row>
    <row r="12119" spans="4:4" x14ac:dyDescent="0.45">
      <c r="D12119" s="47"/>
    </row>
    <row r="12120" spans="4:4" x14ac:dyDescent="0.45">
      <c r="D12120" s="47"/>
    </row>
    <row r="12121" spans="4:4" x14ac:dyDescent="0.45">
      <c r="D12121" s="47"/>
    </row>
    <row r="12122" spans="4:4" x14ac:dyDescent="0.45">
      <c r="D12122" s="47"/>
    </row>
    <row r="12123" spans="4:4" x14ac:dyDescent="0.45">
      <c r="D12123" s="47"/>
    </row>
    <row r="12124" spans="4:4" x14ac:dyDescent="0.45">
      <c r="D12124" s="47"/>
    </row>
    <row r="12125" spans="4:4" x14ac:dyDescent="0.45">
      <c r="D12125" s="47"/>
    </row>
    <row r="12126" spans="4:4" x14ac:dyDescent="0.45">
      <c r="D12126" s="47"/>
    </row>
    <row r="12127" spans="4:4" x14ac:dyDescent="0.45">
      <c r="D12127" s="47"/>
    </row>
    <row r="12128" spans="4:4" x14ac:dyDescent="0.45">
      <c r="D12128" s="47"/>
    </row>
    <row r="12129" spans="4:4" x14ac:dyDescent="0.45">
      <c r="D12129" s="47"/>
    </row>
    <row r="12130" spans="4:4" x14ac:dyDescent="0.45">
      <c r="D12130" s="47"/>
    </row>
    <row r="12131" spans="4:4" x14ac:dyDescent="0.45">
      <c r="D12131" s="47"/>
    </row>
    <row r="12132" spans="4:4" x14ac:dyDescent="0.45">
      <c r="D12132" s="47"/>
    </row>
    <row r="12133" spans="4:4" x14ac:dyDescent="0.45">
      <c r="D12133" s="47"/>
    </row>
    <row r="12134" spans="4:4" x14ac:dyDescent="0.45">
      <c r="D12134" s="47"/>
    </row>
    <row r="12135" spans="4:4" x14ac:dyDescent="0.45">
      <c r="D12135" s="47"/>
    </row>
    <row r="12136" spans="4:4" x14ac:dyDescent="0.45">
      <c r="D12136" s="47"/>
    </row>
    <row r="12137" spans="4:4" x14ac:dyDescent="0.45">
      <c r="D12137" s="47"/>
    </row>
    <row r="12138" spans="4:4" x14ac:dyDescent="0.45">
      <c r="D12138" s="47"/>
    </row>
    <row r="12139" spans="4:4" x14ac:dyDescent="0.45">
      <c r="D12139" s="47"/>
    </row>
    <row r="12140" spans="4:4" x14ac:dyDescent="0.45">
      <c r="D12140" s="47"/>
    </row>
    <row r="12141" spans="4:4" x14ac:dyDescent="0.45">
      <c r="D12141" s="47"/>
    </row>
    <row r="12142" spans="4:4" x14ac:dyDescent="0.45">
      <c r="D12142" s="47"/>
    </row>
    <row r="12143" spans="4:4" x14ac:dyDescent="0.45">
      <c r="D12143" s="47"/>
    </row>
    <row r="12144" spans="4:4" x14ac:dyDescent="0.45">
      <c r="D12144" s="47"/>
    </row>
    <row r="12145" spans="4:4" x14ac:dyDescent="0.45">
      <c r="D12145" s="47"/>
    </row>
    <row r="12146" spans="4:4" x14ac:dyDescent="0.45">
      <c r="D12146" s="47"/>
    </row>
    <row r="12147" spans="4:4" x14ac:dyDescent="0.45">
      <c r="D12147" s="47"/>
    </row>
    <row r="12148" spans="4:4" x14ac:dyDescent="0.45">
      <c r="D12148" s="47"/>
    </row>
    <row r="12149" spans="4:4" x14ac:dyDescent="0.45">
      <c r="D12149" s="47"/>
    </row>
    <row r="12150" spans="4:4" x14ac:dyDescent="0.45">
      <c r="D12150" s="47"/>
    </row>
    <row r="12151" spans="4:4" x14ac:dyDescent="0.45">
      <c r="D12151" s="47"/>
    </row>
    <row r="12152" spans="4:4" x14ac:dyDescent="0.45">
      <c r="D12152" s="47"/>
    </row>
    <row r="12153" spans="4:4" x14ac:dyDescent="0.45">
      <c r="D12153" s="47"/>
    </row>
    <row r="12154" spans="4:4" x14ac:dyDescent="0.45">
      <c r="D12154" s="47"/>
    </row>
    <row r="12155" spans="4:4" x14ac:dyDescent="0.45">
      <c r="D12155" s="47"/>
    </row>
    <row r="12156" spans="4:4" x14ac:dyDescent="0.45">
      <c r="D12156" s="47"/>
    </row>
    <row r="12157" spans="4:4" x14ac:dyDescent="0.45">
      <c r="D12157" s="47"/>
    </row>
    <row r="12158" spans="4:4" x14ac:dyDescent="0.45">
      <c r="D12158" s="47"/>
    </row>
    <row r="12159" spans="4:4" x14ac:dyDescent="0.45">
      <c r="D12159" s="47"/>
    </row>
    <row r="12160" spans="4:4" x14ac:dyDescent="0.45">
      <c r="D12160" s="47"/>
    </row>
    <row r="12161" spans="4:4" x14ac:dyDescent="0.45">
      <c r="D12161" s="47"/>
    </row>
    <row r="12162" spans="4:4" x14ac:dyDescent="0.45">
      <c r="D12162" s="47"/>
    </row>
    <row r="12163" spans="4:4" x14ac:dyDescent="0.45">
      <c r="D12163" s="47"/>
    </row>
    <row r="12164" spans="4:4" x14ac:dyDescent="0.45">
      <c r="D12164" s="47"/>
    </row>
    <row r="12165" spans="4:4" x14ac:dyDescent="0.45">
      <c r="D12165" s="47"/>
    </row>
    <row r="12166" spans="4:4" x14ac:dyDescent="0.45">
      <c r="D12166" s="47"/>
    </row>
    <row r="12167" spans="4:4" x14ac:dyDescent="0.45">
      <c r="D12167" s="47"/>
    </row>
    <row r="12168" spans="4:4" x14ac:dyDescent="0.45">
      <c r="D12168" s="47"/>
    </row>
    <row r="12169" spans="4:4" x14ac:dyDescent="0.45">
      <c r="D12169" s="47"/>
    </row>
    <row r="12170" spans="4:4" x14ac:dyDescent="0.45">
      <c r="D12170" s="47"/>
    </row>
    <row r="12171" spans="4:4" x14ac:dyDescent="0.45">
      <c r="D12171" s="47"/>
    </row>
    <row r="12172" spans="4:4" x14ac:dyDescent="0.45">
      <c r="D12172" s="47"/>
    </row>
    <row r="12173" spans="4:4" x14ac:dyDescent="0.45">
      <c r="D12173" s="47"/>
    </row>
    <row r="12174" spans="4:4" x14ac:dyDescent="0.45">
      <c r="D12174" s="47"/>
    </row>
    <row r="12175" spans="4:4" x14ac:dyDescent="0.45">
      <c r="D12175" s="47"/>
    </row>
    <row r="12176" spans="4:4" x14ac:dyDescent="0.45">
      <c r="D12176" s="47"/>
    </row>
    <row r="12177" spans="4:4" x14ac:dyDescent="0.45">
      <c r="D12177" s="47"/>
    </row>
    <row r="12178" spans="4:4" x14ac:dyDescent="0.45">
      <c r="D12178" s="47"/>
    </row>
    <row r="12179" spans="4:4" x14ac:dyDescent="0.45">
      <c r="D12179" s="47"/>
    </row>
    <row r="12180" spans="4:4" x14ac:dyDescent="0.45">
      <c r="D12180" s="47"/>
    </row>
    <row r="12181" spans="4:4" x14ac:dyDescent="0.45">
      <c r="D12181" s="47"/>
    </row>
    <row r="12182" spans="4:4" x14ac:dyDescent="0.45">
      <c r="D12182" s="47"/>
    </row>
    <row r="12183" spans="4:4" x14ac:dyDescent="0.45">
      <c r="D12183" s="47"/>
    </row>
    <row r="12184" spans="4:4" x14ac:dyDescent="0.45">
      <c r="D12184" s="47"/>
    </row>
    <row r="12185" spans="4:4" x14ac:dyDescent="0.45">
      <c r="D12185" s="47"/>
    </row>
    <row r="12186" spans="4:4" x14ac:dyDescent="0.45">
      <c r="D12186" s="47"/>
    </row>
    <row r="12187" spans="4:4" x14ac:dyDescent="0.45">
      <c r="D12187" s="47"/>
    </row>
    <row r="12188" spans="4:4" x14ac:dyDescent="0.45">
      <c r="D12188" s="47"/>
    </row>
    <row r="12189" spans="4:4" x14ac:dyDescent="0.45">
      <c r="D12189" s="47"/>
    </row>
    <row r="12190" spans="4:4" x14ac:dyDescent="0.45">
      <c r="D12190" s="47"/>
    </row>
    <row r="12191" spans="4:4" x14ac:dyDescent="0.45">
      <c r="D12191" s="47"/>
    </row>
    <row r="12192" spans="4:4" x14ac:dyDescent="0.45">
      <c r="D12192" s="47"/>
    </row>
    <row r="12193" spans="4:4" x14ac:dyDescent="0.45">
      <c r="D12193" s="47"/>
    </row>
    <row r="12194" spans="4:4" x14ac:dyDescent="0.45">
      <c r="D12194" s="47"/>
    </row>
    <row r="12195" spans="4:4" x14ac:dyDescent="0.45">
      <c r="D12195" s="47"/>
    </row>
    <row r="12196" spans="4:4" x14ac:dyDescent="0.45">
      <c r="D12196" s="47"/>
    </row>
    <row r="12197" spans="4:4" x14ac:dyDescent="0.45">
      <c r="D12197" s="47"/>
    </row>
    <row r="12198" spans="4:4" x14ac:dyDescent="0.45">
      <c r="D12198" s="47"/>
    </row>
    <row r="12199" spans="4:4" x14ac:dyDescent="0.45">
      <c r="D12199" s="47"/>
    </row>
    <row r="12200" spans="4:4" x14ac:dyDescent="0.45">
      <c r="D12200" s="47"/>
    </row>
    <row r="12201" spans="4:4" x14ac:dyDescent="0.45">
      <c r="D12201" s="47"/>
    </row>
    <row r="12202" spans="4:4" x14ac:dyDescent="0.45">
      <c r="D12202" s="47"/>
    </row>
    <row r="12203" spans="4:4" x14ac:dyDescent="0.45">
      <c r="D12203" s="47"/>
    </row>
    <row r="12204" spans="4:4" x14ac:dyDescent="0.45">
      <c r="D12204" s="47"/>
    </row>
    <row r="12205" spans="4:4" x14ac:dyDescent="0.45">
      <c r="D12205" s="47"/>
    </row>
    <row r="12206" spans="4:4" x14ac:dyDescent="0.45">
      <c r="D12206" s="47"/>
    </row>
    <row r="12207" spans="4:4" x14ac:dyDescent="0.45">
      <c r="D12207" s="47"/>
    </row>
    <row r="12208" spans="4:4" x14ac:dyDescent="0.45">
      <c r="D12208" s="47"/>
    </row>
    <row r="12209" spans="4:4" x14ac:dyDescent="0.45">
      <c r="D12209" s="47"/>
    </row>
    <row r="12210" spans="4:4" x14ac:dyDescent="0.45">
      <c r="D12210" s="47"/>
    </row>
    <row r="12211" spans="4:4" x14ac:dyDescent="0.45">
      <c r="D12211" s="47"/>
    </row>
    <row r="12212" spans="4:4" x14ac:dyDescent="0.45">
      <c r="D12212" s="47"/>
    </row>
    <row r="12213" spans="4:4" x14ac:dyDescent="0.45">
      <c r="D12213" s="47"/>
    </row>
    <row r="12214" spans="4:4" x14ac:dyDescent="0.45">
      <c r="D12214" s="47"/>
    </row>
    <row r="12215" spans="4:4" x14ac:dyDescent="0.45">
      <c r="D12215" s="47"/>
    </row>
    <row r="12216" spans="4:4" x14ac:dyDescent="0.45">
      <c r="D12216" s="47"/>
    </row>
    <row r="12217" spans="4:4" x14ac:dyDescent="0.45">
      <c r="D12217" s="47"/>
    </row>
    <row r="12218" spans="4:4" x14ac:dyDescent="0.45">
      <c r="D12218" s="47"/>
    </row>
    <row r="12219" spans="4:4" x14ac:dyDescent="0.45">
      <c r="D12219" s="47"/>
    </row>
    <row r="12220" spans="4:4" x14ac:dyDescent="0.45">
      <c r="D12220" s="47"/>
    </row>
    <row r="12221" spans="4:4" x14ac:dyDescent="0.45">
      <c r="D12221" s="47"/>
    </row>
    <row r="12222" spans="4:4" x14ac:dyDescent="0.45">
      <c r="D12222" s="47"/>
    </row>
    <row r="12223" spans="4:4" x14ac:dyDescent="0.45">
      <c r="D12223" s="47"/>
    </row>
    <row r="12224" spans="4:4" x14ac:dyDescent="0.45">
      <c r="D12224" s="47"/>
    </row>
    <row r="12225" spans="4:4" x14ac:dyDescent="0.45">
      <c r="D12225" s="47"/>
    </row>
    <row r="12226" spans="4:4" x14ac:dyDescent="0.45">
      <c r="D12226" s="47"/>
    </row>
    <row r="12227" spans="4:4" x14ac:dyDescent="0.45">
      <c r="D12227" s="47"/>
    </row>
    <row r="12228" spans="4:4" x14ac:dyDescent="0.45">
      <c r="D12228" s="47"/>
    </row>
    <row r="12229" spans="4:4" x14ac:dyDescent="0.45">
      <c r="D12229" s="47"/>
    </row>
    <row r="12230" spans="4:4" x14ac:dyDescent="0.45">
      <c r="D12230" s="47"/>
    </row>
    <row r="12231" spans="4:4" x14ac:dyDescent="0.45">
      <c r="D12231" s="47"/>
    </row>
    <row r="12232" spans="4:4" x14ac:dyDescent="0.45">
      <c r="D12232" s="47"/>
    </row>
    <row r="12233" spans="4:4" x14ac:dyDescent="0.45">
      <c r="D12233" s="47"/>
    </row>
    <row r="12234" spans="4:4" x14ac:dyDescent="0.45">
      <c r="D12234" s="47"/>
    </row>
    <row r="12235" spans="4:4" x14ac:dyDescent="0.45">
      <c r="D12235" s="47"/>
    </row>
    <row r="12236" spans="4:4" x14ac:dyDescent="0.45">
      <c r="D12236" s="47"/>
    </row>
    <row r="12237" spans="4:4" x14ac:dyDescent="0.45">
      <c r="D12237" s="47"/>
    </row>
    <row r="12238" spans="4:4" x14ac:dyDescent="0.45">
      <c r="D12238" s="47"/>
    </row>
    <row r="12239" spans="4:4" x14ac:dyDescent="0.45">
      <c r="D12239" s="47"/>
    </row>
    <row r="12240" spans="4:4" x14ac:dyDescent="0.45">
      <c r="D12240" s="47"/>
    </row>
    <row r="12241" spans="4:4" x14ac:dyDescent="0.45">
      <c r="D12241" s="47"/>
    </row>
    <row r="12242" spans="4:4" x14ac:dyDescent="0.45">
      <c r="D12242" s="47"/>
    </row>
    <row r="12243" spans="4:4" x14ac:dyDescent="0.45">
      <c r="D12243" s="47"/>
    </row>
    <row r="12244" spans="4:4" x14ac:dyDescent="0.45">
      <c r="D12244" s="47"/>
    </row>
    <row r="12245" spans="4:4" x14ac:dyDescent="0.45">
      <c r="D12245" s="47"/>
    </row>
    <row r="12246" spans="4:4" x14ac:dyDescent="0.45">
      <c r="D12246" s="47"/>
    </row>
    <row r="12247" spans="4:4" x14ac:dyDescent="0.45">
      <c r="D12247" s="47"/>
    </row>
    <row r="12248" spans="4:4" x14ac:dyDescent="0.45">
      <c r="D12248" s="47"/>
    </row>
    <row r="12249" spans="4:4" x14ac:dyDescent="0.45">
      <c r="D12249" s="47"/>
    </row>
    <row r="12250" spans="4:4" x14ac:dyDescent="0.45">
      <c r="D12250" s="47"/>
    </row>
    <row r="12251" spans="4:4" x14ac:dyDescent="0.45">
      <c r="D12251" s="47"/>
    </row>
    <row r="12252" spans="4:4" x14ac:dyDescent="0.45">
      <c r="D12252" s="47"/>
    </row>
    <row r="12253" spans="4:4" x14ac:dyDescent="0.45">
      <c r="D12253" s="47"/>
    </row>
    <row r="12254" spans="4:4" x14ac:dyDescent="0.45">
      <c r="D12254" s="47"/>
    </row>
    <row r="12255" spans="4:4" x14ac:dyDescent="0.45">
      <c r="D12255" s="47"/>
    </row>
    <row r="12256" spans="4:4" x14ac:dyDescent="0.45">
      <c r="D12256" s="47"/>
    </row>
    <row r="12257" spans="4:4" x14ac:dyDescent="0.45">
      <c r="D12257" s="47"/>
    </row>
    <row r="12258" spans="4:4" x14ac:dyDescent="0.45">
      <c r="D12258" s="47"/>
    </row>
    <row r="12259" spans="4:4" x14ac:dyDescent="0.45">
      <c r="D12259" s="47"/>
    </row>
    <row r="12260" spans="4:4" x14ac:dyDescent="0.45">
      <c r="D12260" s="47"/>
    </row>
    <row r="12261" spans="4:4" x14ac:dyDescent="0.45">
      <c r="D12261" s="47"/>
    </row>
    <row r="12262" spans="4:4" x14ac:dyDescent="0.45">
      <c r="D12262" s="47"/>
    </row>
    <row r="12263" spans="4:4" x14ac:dyDescent="0.45">
      <c r="D12263" s="47"/>
    </row>
    <row r="12264" spans="4:4" x14ac:dyDescent="0.45">
      <c r="D12264" s="47"/>
    </row>
    <row r="12265" spans="4:4" x14ac:dyDescent="0.45">
      <c r="D12265" s="47"/>
    </row>
    <row r="12266" spans="4:4" x14ac:dyDescent="0.45">
      <c r="D12266" s="47"/>
    </row>
    <row r="12267" spans="4:4" x14ac:dyDescent="0.45">
      <c r="D12267" s="47"/>
    </row>
    <row r="12268" spans="4:4" x14ac:dyDescent="0.45">
      <c r="D12268" s="47"/>
    </row>
    <row r="12269" spans="4:4" x14ac:dyDescent="0.45">
      <c r="D12269" s="47"/>
    </row>
    <row r="12270" spans="4:4" x14ac:dyDescent="0.45">
      <c r="D12270" s="47"/>
    </row>
    <row r="12271" spans="4:4" x14ac:dyDescent="0.45">
      <c r="D12271" s="47"/>
    </row>
    <row r="12272" spans="4:4" x14ac:dyDescent="0.45">
      <c r="D12272" s="47"/>
    </row>
    <row r="12273" spans="4:4" x14ac:dyDescent="0.45">
      <c r="D12273" s="47"/>
    </row>
    <row r="12274" spans="4:4" x14ac:dyDescent="0.45">
      <c r="D12274" s="47"/>
    </row>
    <row r="12275" spans="4:4" x14ac:dyDescent="0.45">
      <c r="D12275" s="47"/>
    </row>
    <row r="12276" spans="4:4" x14ac:dyDescent="0.45">
      <c r="D12276" s="47"/>
    </row>
    <row r="12277" spans="4:4" x14ac:dyDescent="0.45">
      <c r="D12277" s="47"/>
    </row>
    <row r="12278" spans="4:4" x14ac:dyDescent="0.45">
      <c r="D12278" s="47"/>
    </row>
    <row r="12279" spans="4:4" x14ac:dyDescent="0.45">
      <c r="D12279" s="47"/>
    </row>
    <row r="12280" spans="4:4" x14ac:dyDescent="0.45">
      <c r="D12280" s="47"/>
    </row>
    <row r="12281" spans="4:4" x14ac:dyDescent="0.45">
      <c r="D12281" s="47"/>
    </row>
    <row r="12282" spans="4:4" x14ac:dyDescent="0.45">
      <c r="D12282" s="47"/>
    </row>
    <row r="12283" spans="4:4" x14ac:dyDescent="0.45">
      <c r="D12283" s="47"/>
    </row>
    <row r="12284" spans="4:4" x14ac:dyDescent="0.45">
      <c r="D12284" s="47"/>
    </row>
    <row r="12285" spans="4:4" x14ac:dyDescent="0.45">
      <c r="D12285" s="47"/>
    </row>
    <row r="12286" spans="4:4" x14ac:dyDescent="0.45">
      <c r="D12286" s="47"/>
    </row>
    <row r="12287" spans="4:4" x14ac:dyDescent="0.45">
      <c r="D12287" s="47"/>
    </row>
    <row r="12288" spans="4:4" x14ac:dyDescent="0.45">
      <c r="D12288" s="47"/>
    </row>
    <row r="12289" spans="4:4" x14ac:dyDescent="0.45">
      <c r="D12289" s="47"/>
    </row>
    <row r="12290" spans="4:4" x14ac:dyDescent="0.45">
      <c r="D12290" s="47"/>
    </row>
    <row r="12291" spans="4:4" x14ac:dyDescent="0.45">
      <c r="D12291" s="47"/>
    </row>
    <row r="12292" spans="4:4" x14ac:dyDescent="0.45">
      <c r="D12292" s="47"/>
    </row>
    <row r="12293" spans="4:4" x14ac:dyDescent="0.45">
      <c r="D12293" s="47"/>
    </row>
    <row r="12294" spans="4:4" x14ac:dyDescent="0.45">
      <c r="D12294" s="47"/>
    </row>
    <row r="12295" spans="4:4" x14ac:dyDescent="0.45">
      <c r="D12295" s="47"/>
    </row>
    <row r="12296" spans="4:4" x14ac:dyDescent="0.45">
      <c r="D12296" s="47"/>
    </row>
    <row r="12297" spans="4:4" x14ac:dyDescent="0.45">
      <c r="D12297" s="47"/>
    </row>
    <row r="12298" spans="4:4" x14ac:dyDescent="0.45">
      <c r="D12298" s="47"/>
    </row>
    <row r="12299" spans="4:4" x14ac:dyDescent="0.45">
      <c r="D12299" s="47"/>
    </row>
    <row r="12300" spans="4:4" x14ac:dyDescent="0.45">
      <c r="D12300" s="47"/>
    </row>
    <row r="12301" spans="4:4" x14ac:dyDescent="0.45">
      <c r="D12301" s="47"/>
    </row>
    <row r="12302" spans="4:4" x14ac:dyDescent="0.45">
      <c r="D12302" s="47"/>
    </row>
    <row r="12303" spans="4:4" x14ac:dyDescent="0.45">
      <c r="D12303" s="47"/>
    </row>
    <row r="12304" spans="4:4" x14ac:dyDescent="0.45">
      <c r="D12304" s="47"/>
    </row>
    <row r="12305" spans="4:4" x14ac:dyDescent="0.45">
      <c r="D12305" s="47"/>
    </row>
    <row r="12306" spans="4:4" x14ac:dyDescent="0.45">
      <c r="D12306" s="47"/>
    </row>
    <row r="12307" spans="4:4" x14ac:dyDescent="0.45">
      <c r="D12307" s="47"/>
    </row>
    <row r="12308" spans="4:4" x14ac:dyDescent="0.45">
      <c r="D12308" s="47"/>
    </row>
    <row r="12309" spans="4:4" x14ac:dyDescent="0.45">
      <c r="D12309" s="47"/>
    </row>
    <row r="12310" spans="4:4" x14ac:dyDescent="0.45">
      <c r="D12310" s="47"/>
    </row>
    <row r="12311" spans="4:4" x14ac:dyDescent="0.45">
      <c r="D12311" s="47"/>
    </row>
    <row r="12312" spans="4:4" x14ac:dyDescent="0.45">
      <c r="D12312" s="47"/>
    </row>
    <row r="12313" spans="4:4" x14ac:dyDescent="0.45">
      <c r="D12313" s="47"/>
    </row>
    <row r="12314" spans="4:4" x14ac:dyDescent="0.45">
      <c r="D12314" s="47"/>
    </row>
    <row r="12315" spans="4:4" x14ac:dyDescent="0.45">
      <c r="D12315" s="47"/>
    </row>
    <row r="12316" spans="4:4" x14ac:dyDescent="0.45">
      <c r="D12316" s="47"/>
    </row>
    <row r="12317" spans="4:4" x14ac:dyDescent="0.45">
      <c r="D12317" s="47"/>
    </row>
    <row r="12318" spans="4:4" x14ac:dyDescent="0.45">
      <c r="D12318" s="47"/>
    </row>
    <row r="12319" spans="4:4" x14ac:dyDescent="0.45">
      <c r="D12319" s="47"/>
    </row>
    <row r="12320" spans="4:4" x14ac:dyDescent="0.45">
      <c r="D12320" s="47"/>
    </row>
    <row r="12321" spans="4:4" x14ac:dyDescent="0.45">
      <c r="D12321" s="47"/>
    </row>
    <row r="12322" spans="4:4" x14ac:dyDescent="0.45">
      <c r="D12322" s="47"/>
    </row>
    <row r="12323" spans="4:4" x14ac:dyDescent="0.45">
      <c r="D12323" s="47"/>
    </row>
    <row r="12324" spans="4:4" x14ac:dyDescent="0.45">
      <c r="D12324" s="47"/>
    </row>
    <row r="12325" spans="4:4" x14ac:dyDescent="0.45">
      <c r="D12325" s="47"/>
    </row>
    <row r="12326" spans="4:4" x14ac:dyDescent="0.45">
      <c r="D12326" s="47"/>
    </row>
    <row r="12327" spans="4:4" x14ac:dyDescent="0.45">
      <c r="D12327" s="47"/>
    </row>
    <row r="12328" spans="4:4" x14ac:dyDescent="0.45">
      <c r="D12328" s="47"/>
    </row>
    <row r="12329" spans="4:4" x14ac:dyDescent="0.45">
      <c r="D12329" s="47"/>
    </row>
    <row r="12330" spans="4:4" x14ac:dyDescent="0.45">
      <c r="D12330" s="47"/>
    </row>
    <row r="12331" spans="4:4" x14ac:dyDescent="0.45">
      <c r="D12331" s="47"/>
    </row>
    <row r="12332" spans="4:4" x14ac:dyDescent="0.45">
      <c r="D12332" s="47"/>
    </row>
    <row r="12333" spans="4:4" x14ac:dyDescent="0.45">
      <c r="D12333" s="47"/>
    </row>
    <row r="12334" spans="4:4" x14ac:dyDescent="0.45">
      <c r="D12334" s="47"/>
    </row>
    <row r="12335" spans="4:4" x14ac:dyDescent="0.45">
      <c r="D12335" s="47"/>
    </row>
    <row r="12336" spans="4:4" x14ac:dyDescent="0.45">
      <c r="D12336" s="47"/>
    </row>
    <row r="12337" spans="4:4" x14ac:dyDescent="0.45">
      <c r="D12337" s="47"/>
    </row>
    <row r="12338" spans="4:4" x14ac:dyDescent="0.45">
      <c r="D12338" s="47"/>
    </row>
    <row r="12339" spans="4:4" x14ac:dyDescent="0.45">
      <c r="D12339" s="47"/>
    </row>
    <row r="12340" spans="4:4" x14ac:dyDescent="0.45">
      <c r="D12340" s="47"/>
    </row>
    <row r="12341" spans="4:4" x14ac:dyDescent="0.45">
      <c r="D12341" s="47"/>
    </row>
    <row r="12342" spans="4:4" x14ac:dyDescent="0.45">
      <c r="D12342" s="47"/>
    </row>
    <row r="12343" spans="4:4" x14ac:dyDescent="0.45">
      <c r="D12343" s="47"/>
    </row>
    <row r="12344" spans="4:4" x14ac:dyDescent="0.45">
      <c r="D12344" s="47"/>
    </row>
    <row r="12345" spans="4:4" x14ac:dyDescent="0.45">
      <c r="D12345" s="47"/>
    </row>
    <row r="12346" spans="4:4" x14ac:dyDescent="0.45">
      <c r="D12346" s="47"/>
    </row>
    <row r="12347" spans="4:4" x14ac:dyDescent="0.45">
      <c r="D12347" s="47"/>
    </row>
    <row r="12348" spans="4:4" x14ac:dyDescent="0.45">
      <c r="D12348" s="47"/>
    </row>
    <row r="12349" spans="4:4" x14ac:dyDescent="0.45">
      <c r="D12349" s="47"/>
    </row>
    <row r="12350" spans="4:4" x14ac:dyDescent="0.45">
      <c r="D12350" s="47"/>
    </row>
    <row r="12351" spans="4:4" x14ac:dyDescent="0.45">
      <c r="D12351" s="47"/>
    </row>
    <row r="12352" spans="4:4" x14ac:dyDescent="0.45">
      <c r="D12352" s="47"/>
    </row>
    <row r="12353" spans="4:4" x14ac:dyDescent="0.45">
      <c r="D12353" s="47"/>
    </row>
    <row r="12354" spans="4:4" x14ac:dyDescent="0.45">
      <c r="D12354" s="47"/>
    </row>
    <row r="12355" spans="4:4" x14ac:dyDescent="0.45">
      <c r="D12355" s="47"/>
    </row>
    <row r="12356" spans="4:4" x14ac:dyDescent="0.45">
      <c r="D12356" s="47"/>
    </row>
    <row r="12357" spans="4:4" x14ac:dyDescent="0.45">
      <c r="D12357" s="47"/>
    </row>
    <row r="12358" spans="4:4" x14ac:dyDescent="0.45">
      <c r="D12358" s="47"/>
    </row>
    <row r="12359" spans="4:4" x14ac:dyDescent="0.45">
      <c r="D12359" s="47"/>
    </row>
    <row r="12360" spans="4:4" x14ac:dyDescent="0.45">
      <c r="D12360" s="47"/>
    </row>
    <row r="12361" spans="4:4" x14ac:dyDescent="0.45">
      <c r="D12361" s="47"/>
    </row>
    <row r="12362" spans="4:4" x14ac:dyDescent="0.45">
      <c r="D12362" s="47"/>
    </row>
    <row r="12363" spans="4:4" x14ac:dyDescent="0.45">
      <c r="D12363" s="47"/>
    </row>
    <row r="12364" spans="4:4" x14ac:dyDescent="0.45">
      <c r="D12364" s="47"/>
    </row>
    <row r="12365" spans="4:4" x14ac:dyDescent="0.45">
      <c r="D12365" s="47"/>
    </row>
    <row r="12366" spans="4:4" x14ac:dyDescent="0.45">
      <c r="D12366" s="47"/>
    </row>
    <row r="12367" spans="4:4" x14ac:dyDescent="0.45">
      <c r="D12367" s="47"/>
    </row>
    <row r="12368" spans="4:4" x14ac:dyDescent="0.45">
      <c r="D12368" s="47"/>
    </row>
    <row r="12369" spans="4:4" x14ac:dyDescent="0.45">
      <c r="D12369" s="47"/>
    </row>
    <row r="12370" spans="4:4" x14ac:dyDescent="0.45">
      <c r="D12370" s="47"/>
    </row>
    <row r="12371" spans="4:4" x14ac:dyDescent="0.45">
      <c r="D12371" s="47"/>
    </row>
    <row r="12372" spans="4:4" x14ac:dyDescent="0.45">
      <c r="D12372" s="47"/>
    </row>
    <row r="12373" spans="4:4" x14ac:dyDescent="0.45">
      <c r="D12373" s="47"/>
    </row>
    <row r="12374" spans="4:4" x14ac:dyDescent="0.45">
      <c r="D12374" s="47"/>
    </row>
    <row r="12375" spans="4:4" x14ac:dyDescent="0.45">
      <c r="D12375" s="47"/>
    </row>
    <row r="12376" spans="4:4" x14ac:dyDescent="0.45">
      <c r="D12376" s="47"/>
    </row>
    <row r="12377" spans="4:4" x14ac:dyDescent="0.45">
      <c r="D12377" s="47"/>
    </row>
    <row r="12378" spans="4:4" x14ac:dyDescent="0.45">
      <c r="D12378" s="47"/>
    </row>
    <row r="12379" spans="4:4" x14ac:dyDescent="0.45">
      <c r="D12379" s="47"/>
    </row>
    <row r="12380" spans="4:4" x14ac:dyDescent="0.45">
      <c r="D12380" s="47"/>
    </row>
    <row r="12381" spans="4:4" x14ac:dyDescent="0.45">
      <c r="D12381" s="47"/>
    </row>
    <row r="12382" spans="4:4" x14ac:dyDescent="0.45">
      <c r="D12382" s="47"/>
    </row>
    <row r="12383" spans="4:4" x14ac:dyDescent="0.45">
      <c r="D12383" s="47"/>
    </row>
    <row r="12384" spans="4:4" x14ac:dyDescent="0.45">
      <c r="D12384" s="47"/>
    </row>
    <row r="12385" spans="4:4" x14ac:dyDescent="0.45">
      <c r="D12385" s="47"/>
    </row>
    <row r="12386" spans="4:4" x14ac:dyDescent="0.45">
      <c r="D12386" s="47"/>
    </row>
    <row r="12387" spans="4:4" x14ac:dyDescent="0.45">
      <c r="D12387" s="47"/>
    </row>
    <row r="12388" spans="4:4" x14ac:dyDescent="0.45">
      <c r="D12388" s="47"/>
    </row>
    <row r="12389" spans="4:4" x14ac:dyDescent="0.45">
      <c r="D12389" s="47"/>
    </row>
    <row r="12390" spans="4:4" x14ac:dyDescent="0.45">
      <c r="D12390" s="47"/>
    </row>
    <row r="12391" spans="4:4" x14ac:dyDescent="0.45">
      <c r="D12391" s="47"/>
    </row>
    <row r="12392" spans="4:4" x14ac:dyDescent="0.45">
      <c r="D12392" s="47"/>
    </row>
    <row r="12393" spans="4:4" x14ac:dyDescent="0.45">
      <c r="D12393" s="47"/>
    </row>
    <row r="12394" spans="4:4" x14ac:dyDescent="0.45">
      <c r="D12394" s="47"/>
    </row>
    <row r="12395" spans="4:4" x14ac:dyDescent="0.45">
      <c r="D12395" s="47"/>
    </row>
    <row r="12396" spans="4:4" x14ac:dyDescent="0.45">
      <c r="D12396" s="47"/>
    </row>
    <row r="12397" spans="4:4" x14ac:dyDescent="0.45">
      <c r="D12397" s="47"/>
    </row>
    <row r="12398" spans="4:4" x14ac:dyDescent="0.45">
      <c r="D12398" s="47"/>
    </row>
    <row r="12399" spans="4:4" x14ac:dyDescent="0.45">
      <c r="D12399" s="47"/>
    </row>
    <row r="12400" spans="4:4" x14ac:dyDescent="0.45">
      <c r="D12400" s="47"/>
    </row>
    <row r="12401" spans="4:4" x14ac:dyDescent="0.45">
      <c r="D12401" s="47"/>
    </row>
    <row r="12402" spans="4:4" x14ac:dyDescent="0.45">
      <c r="D12402" s="47"/>
    </row>
    <row r="12403" spans="4:4" x14ac:dyDescent="0.45">
      <c r="D12403" s="47"/>
    </row>
    <row r="12404" spans="4:4" x14ac:dyDescent="0.45">
      <c r="D12404" s="47"/>
    </row>
    <row r="12405" spans="4:4" x14ac:dyDescent="0.45">
      <c r="D12405" s="47"/>
    </row>
    <row r="12406" spans="4:4" x14ac:dyDescent="0.45">
      <c r="D12406" s="47"/>
    </row>
    <row r="12407" spans="4:4" x14ac:dyDescent="0.45">
      <c r="D12407" s="47"/>
    </row>
    <row r="12408" spans="4:4" x14ac:dyDescent="0.45">
      <c r="D12408" s="47"/>
    </row>
    <row r="12409" spans="4:4" x14ac:dyDescent="0.45">
      <c r="D12409" s="47"/>
    </row>
    <row r="12410" spans="4:4" x14ac:dyDescent="0.45">
      <c r="D12410" s="47"/>
    </row>
    <row r="12411" spans="4:4" x14ac:dyDescent="0.45">
      <c r="D12411" s="47"/>
    </row>
    <row r="12412" spans="4:4" x14ac:dyDescent="0.45">
      <c r="D12412" s="47"/>
    </row>
    <row r="12413" spans="4:4" x14ac:dyDescent="0.45">
      <c r="D12413" s="47"/>
    </row>
    <row r="12414" spans="4:4" x14ac:dyDescent="0.45">
      <c r="D12414" s="47"/>
    </row>
    <row r="12415" spans="4:4" x14ac:dyDescent="0.45">
      <c r="D12415" s="47"/>
    </row>
    <row r="12416" spans="4:4" x14ac:dyDescent="0.45">
      <c r="D12416" s="47"/>
    </row>
    <row r="12417" spans="4:4" x14ac:dyDescent="0.45">
      <c r="D12417" s="47"/>
    </row>
    <row r="12418" spans="4:4" x14ac:dyDescent="0.45">
      <c r="D12418" s="47"/>
    </row>
    <row r="12419" spans="4:4" x14ac:dyDescent="0.45">
      <c r="D12419" s="47"/>
    </row>
    <row r="12420" spans="4:4" x14ac:dyDescent="0.45">
      <c r="D12420" s="47"/>
    </row>
    <row r="12421" spans="4:4" x14ac:dyDescent="0.45">
      <c r="D12421" s="47"/>
    </row>
    <row r="12422" spans="4:4" x14ac:dyDescent="0.45">
      <c r="D12422" s="47"/>
    </row>
    <row r="12423" spans="4:4" x14ac:dyDescent="0.45">
      <c r="D12423" s="47"/>
    </row>
    <row r="12424" spans="4:4" x14ac:dyDescent="0.45">
      <c r="D12424" s="47"/>
    </row>
    <row r="12425" spans="4:4" x14ac:dyDescent="0.45">
      <c r="D12425" s="47"/>
    </row>
    <row r="12426" spans="4:4" x14ac:dyDescent="0.45">
      <c r="D12426" s="47"/>
    </row>
    <row r="12427" spans="4:4" x14ac:dyDescent="0.45">
      <c r="D12427" s="47"/>
    </row>
    <row r="12428" spans="4:4" x14ac:dyDescent="0.45">
      <c r="D12428" s="47"/>
    </row>
    <row r="12429" spans="4:4" x14ac:dyDescent="0.45">
      <c r="D12429" s="47"/>
    </row>
    <row r="12430" spans="4:4" x14ac:dyDescent="0.45">
      <c r="D12430" s="47"/>
    </row>
    <row r="12431" spans="4:4" x14ac:dyDescent="0.45">
      <c r="D12431" s="47"/>
    </row>
    <row r="12432" spans="4:4" x14ac:dyDescent="0.45">
      <c r="D12432" s="47"/>
    </row>
    <row r="12433" spans="4:4" x14ac:dyDescent="0.45">
      <c r="D12433" s="47"/>
    </row>
    <row r="12434" spans="4:4" x14ac:dyDescent="0.45">
      <c r="D12434" s="47"/>
    </row>
    <row r="12435" spans="4:4" x14ac:dyDescent="0.45">
      <c r="D12435" s="47"/>
    </row>
    <row r="12436" spans="4:4" x14ac:dyDescent="0.45">
      <c r="D12436" s="47"/>
    </row>
    <row r="12437" spans="4:4" x14ac:dyDescent="0.45">
      <c r="D12437" s="47"/>
    </row>
    <row r="12438" spans="4:4" x14ac:dyDescent="0.45">
      <c r="D12438" s="47"/>
    </row>
    <row r="12439" spans="4:4" x14ac:dyDescent="0.45">
      <c r="D12439" s="47"/>
    </row>
    <row r="12440" spans="4:4" x14ac:dyDescent="0.45">
      <c r="D12440" s="47"/>
    </row>
    <row r="12441" spans="4:4" x14ac:dyDescent="0.45">
      <c r="D12441" s="47"/>
    </row>
    <row r="12442" spans="4:4" x14ac:dyDescent="0.45">
      <c r="D12442" s="47"/>
    </row>
    <row r="12443" spans="4:4" x14ac:dyDescent="0.45">
      <c r="D12443" s="47"/>
    </row>
    <row r="12444" spans="4:4" x14ac:dyDescent="0.45">
      <c r="D12444" s="47"/>
    </row>
    <row r="12445" spans="4:4" x14ac:dyDescent="0.45">
      <c r="D12445" s="47"/>
    </row>
    <row r="12446" spans="4:4" x14ac:dyDescent="0.45">
      <c r="D12446" s="47"/>
    </row>
    <row r="12447" spans="4:4" x14ac:dyDescent="0.45">
      <c r="D12447" s="47"/>
    </row>
    <row r="12448" spans="4:4" x14ac:dyDescent="0.45">
      <c r="D12448" s="47"/>
    </row>
    <row r="12449" spans="4:4" x14ac:dyDescent="0.45">
      <c r="D12449" s="47"/>
    </row>
    <row r="12450" spans="4:4" x14ac:dyDescent="0.45">
      <c r="D12450" s="47"/>
    </row>
    <row r="12451" spans="4:4" x14ac:dyDescent="0.45">
      <c r="D12451" s="47"/>
    </row>
    <row r="12452" spans="4:4" x14ac:dyDescent="0.45">
      <c r="D12452" s="47"/>
    </row>
    <row r="12453" spans="4:4" x14ac:dyDescent="0.45">
      <c r="D12453" s="47"/>
    </row>
    <row r="12454" spans="4:4" x14ac:dyDescent="0.45">
      <c r="D12454" s="47"/>
    </row>
    <row r="12455" spans="4:4" x14ac:dyDescent="0.45">
      <c r="D12455" s="47"/>
    </row>
    <row r="12456" spans="4:4" x14ac:dyDescent="0.45">
      <c r="D12456" s="47"/>
    </row>
    <row r="12457" spans="4:4" x14ac:dyDescent="0.45">
      <c r="D12457" s="47"/>
    </row>
    <row r="12458" spans="4:4" x14ac:dyDescent="0.45">
      <c r="D12458" s="47"/>
    </row>
    <row r="12459" spans="4:4" x14ac:dyDescent="0.45">
      <c r="D12459" s="47"/>
    </row>
    <row r="12460" spans="4:4" x14ac:dyDescent="0.45">
      <c r="D12460" s="47"/>
    </row>
    <row r="12461" spans="4:4" x14ac:dyDescent="0.45">
      <c r="D12461" s="47"/>
    </row>
    <row r="12462" spans="4:4" x14ac:dyDescent="0.45">
      <c r="D12462" s="47"/>
    </row>
    <row r="12463" spans="4:4" x14ac:dyDescent="0.45">
      <c r="D12463" s="47"/>
    </row>
    <row r="12464" spans="4:4" x14ac:dyDescent="0.45">
      <c r="D12464" s="47"/>
    </row>
    <row r="12465" spans="4:4" x14ac:dyDescent="0.45">
      <c r="D12465" s="47"/>
    </row>
    <row r="12466" spans="4:4" x14ac:dyDescent="0.45">
      <c r="D12466" s="47"/>
    </row>
    <row r="12467" spans="4:4" x14ac:dyDescent="0.45">
      <c r="D12467" s="47"/>
    </row>
    <row r="12468" spans="4:4" x14ac:dyDescent="0.45">
      <c r="D12468" s="47"/>
    </row>
    <row r="12469" spans="4:4" x14ac:dyDescent="0.45">
      <c r="D12469" s="47"/>
    </row>
    <row r="12470" spans="4:4" x14ac:dyDescent="0.45">
      <c r="D12470" s="47"/>
    </row>
    <row r="12471" spans="4:4" x14ac:dyDescent="0.45">
      <c r="D12471" s="47"/>
    </row>
    <row r="12472" spans="4:4" x14ac:dyDescent="0.45">
      <c r="D12472" s="47"/>
    </row>
    <row r="12473" spans="4:4" x14ac:dyDescent="0.45">
      <c r="D12473" s="47"/>
    </row>
    <row r="12474" spans="4:4" x14ac:dyDescent="0.45">
      <c r="D12474" s="47"/>
    </row>
    <row r="12475" spans="4:4" x14ac:dyDescent="0.45">
      <c r="D12475" s="47"/>
    </row>
    <row r="12476" spans="4:4" x14ac:dyDescent="0.45">
      <c r="D12476" s="47"/>
    </row>
    <row r="12477" spans="4:4" x14ac:dyDescent="0.45">
      <c r="D12477" s="47"/>
    </row>
    <row r="12478" spans="4:4" x14ac:dyDescent="0.45">
      <c r="D12478" s="47"/>
    </row>
    <row r="12479" spans="4:4" x14ac:dyDescent="0.45">
      <c r="D12479" s="47"/>
    </row>
    <row r="12480" spans="4:4" x14ac:dyDescent="0.45">
      <c r="D12480" s="47"/>
    </row>
    <row r="12481" spans="4:4" x14ac:dyDescent="0.45">
      <c r="D12481" s="47"/>
    </row>
    <row r="12482" spans="4:4" x14ac:dyDescent="0.45">
      <c r="D12482" s="47"/>
    </row>
    <row r="12483" spans="4:4" x14ac:dyDescent="0.45">
      <c r="D12483" s="47"/>
    </row>
    <row r="12484" spans="4:4" x14ac:dyDescent="0.45">
      <c r="D12484" s="47"/>
    </row>
    <row r="12485" spans="4:4" x14ac:dyDescent="0.45">
      <c r="D12485" s="47"/>
    </row>
    <row r="12486" spans="4:4" x14ac:dyDescent="0.45">
      <c r="D12486" s="47"/>
    </row>
    <row r="12487" spans="4:4" x14ac:dyDescent="0.45">
      <c r="D12487" s="47"/>
    </row>
    <row r="12488" spans="4:4" x14ac:dyDescent="0.45">
      <c r="D12488" s="47"/>
    </row>
    <row r="12489" spans="4:4" x14ac:dyDescent="0.45">
      <c r="D12489" s="47"/>
    </row>
    <row r="12490" spans="4:4" x14ac:dyDescent="0.45">
      <c r="D12490" s="47"/>
    </row>
    <row r="12491" spans="4:4" x14ac:dyDescent="0.45">
      <c r="D12491" s="47"/>
    </row>
    <row r="12492" spans="4:4" x14ac:dyDescent="0.45">
      <c r="D12492" s="47"/>
    </row>
    <row r="12493" spans="4:4" x14ac:dyDescent="0.45">
      <c r="D12493" s="47"/>
    </row>
    <row r="12494" spans="4:4" x14ac:dyDescent="0.45">
      <c r="D12494" s="47"/>
    </row>
    <row r="12495" spans="4:4" x14ac:dyDescent="0.45">
      <c r="D12495" s="47"/>
    </row>
    <row r="12496" spans="4:4" x14ac:dyDescent="0.45">
      <c r="D12496" s="47"/>
    </row>
    <row r="12497" spans="4:4" x14ac:dyDescent="0.45">
      <c r="D12497" s="47"/>
    </row>
    <row r="12498" spans="4:4" x14ac:dyDescent="0.45">
      <c r="D12498" s="47"/>
    </row>
    <row r="12499" spans="4:4" x14ac:dyDescent="0.45">
      <c r="D12499" s="47"/>
    </row>
    <row r="12500" spans="4:4" x14ac:dyDescent="0.45">
      <c r="D12500" s="47"/>
    </row>
    <row r="12501" spans="4:4" x14ac:dyDescent="0.45">
      <c r="D12501" s="47"/>
    </row>
    <row r="12502" spans="4:4" x14ac:dyDescent="0.45">
      <c r="D12502" s="47"/>
    </row>
    <row r="12503" spans="4:4" x14ac:dyDescent="0.45">
      <c r="D12503" s="47"/>
    </row>
    <row r="12504" spans="4:4" x14ac:dyDescent="0.45">
      <c r="D12504" s="47"/>
    </row>
    <row r="12505" spans="4:4" x14ac:dyDescent="0.45">
      <c r="D12505" s="47"/>
    </row>
    <row r="12506" spans="4:4" x14ac:dyDescent="0.45">
      <c r="D12506" s="47"/>
    </row>
    <row r="12507" spans="4:4" x14ac:dyDescent="0.45">
      <c r="D12507" s="47"/>
    </row>
    <row r="12508" spans="4:4" x14ac:dyDescent="0.45">
      <c r="D12508" s="47"/>
    </row>
    <row r="12509" spans="4:4" x14ac:dyDescent="0.45">
      <c r="D12509" s="47"/>
    </row>
    <row r="12510" spans="4:4" x14ac:dyDescent="0.45">
      <c r="D12510" s="47"/>
    </row>
    <row r="12511" spans="4:4" x14ac:dyDescent="0.45">
      <c r="D12511" s="47"/>
    </row>
    <row r="12512" spans="4:4" x14ac:dyDescent="0.45">
      <c r="D12512" s="47"/>
    </row>
    <row r="12513" spans="4:4" x14ac:dyDescent="0.45">
      <c r="D12513" s="47"/>
    </row>
    <row r="12514" spans="4:4" x14ac:dyDescent="0.45">
      <c r="D12514" s="47"/>
    </row>
    <row r="12515" spans="4:4" x14ac:dyDescent="0.45">
      <c r="D12515" s="47"/>
    </row>
    <row r="12516" spans="4:4" x14ac:dyDescent="0.45">
      <c r="D12516" s="47"/>
    </row>
    <row r="12517" spans="4:4" x14ac:dyDescent="0.45">
      <c r="D12517" s="47"/>
    </row>
    <row r="12518" spans="4:4" x14ac:dyDescent="0.45">
      <c r="D12518" s="47"/>
    </row>
    <row r="12519" spans="4:4" x14ac:dyDescent="0.45">
      <c r="D12519" s="47"/>
    </row>
    <row r="12520" spans="4:4" x14ac:dyDescent="0.45">
      <c r="D12520" s="47"/>
    </row>
    <row r="12521" spans="4:4" x14ac:dyDescent="0.45">
      <c r="D12521" s="47"/>
    </row>
    <row r="12522" spans="4:4" x14ac:dyDescent="0.45">
      <c r="D12522" s="47"/>
    </row>
    <row r="12523" spans="4:4" x14ac:dyDescent="0.45">
      <c r="D12523" s="47"/>
    </row>
    <row r="12524" spans="4:4" x14ac:dyDescent="0.45">
      <c r="D12524" s="47"/>
    </row>
    <row r="12525" spans="4:4" x14ac:dyDescent="0.45">
      <c r="D12525" s="47"/>
    </row>
    <row r="12526" spans="4:4" x14ac:dyDescent="0.45">
      <c r="D12526" s="47"/>
    </row>
    <row r="12527" spans="4:4" x14ac:dyDescent="0.45">
      <c r="D12527" s="47"/>
    </row>
    <row r="12528" spans="4:4" x14ac:dyDescent="0.45">
      <c r="D12528" s="47"/>
    </row>
    <row r="12529" spans="4:4" x14ac:dyDescent="0.45">
      <c r="D12529" s="47"/>
    </row>
    <row r="12530" spans="4:4" x14ac:dyDescent="0.45">
      <c r="D12530" s="47"/>
    </row>
    <row r="12531" spans="4:4" x14ac:dyDescent="0.45">
      <c r="D12531" s="47"/>
    </row>
    <row r="12532" spans="4:4" x14ac:dyDescent="0.45">
      <c r="D12532" s="47"/>
    </row>
    <row r="12533" spans="4:4" x14ac:dyDescent="0.45">
      <c r="D12533" s="47"/>
    </row>
    <row r="12534" spans="4:4" x14ac:dyDescent="0.45">
      <c r="D12534" s="47"/>
    </row>
    <row r="12535" spans="4:4" x14ac:dyDescent="0.45">
      <c r="D12535" s="47"/>
    </row>
    <row r="12536" spans="4:4" x14ac:dyDescent="0.45">
      <c r="D12536" s="47"/>
    </row>
    <row r="12537" spans="4:4" x14ac:dyDescent="0.45">
      <c r="D12537" s="47"/>
    </row>
    <row r="12538" spans="4:4" x14ac:dyDescent="0.45">
      <c r="D12538" s="47"/>
    </row>
    <row r="12539" spans="4:4" x14ac:dyDescent="0.45">
      <c r="D12539" s="47"/>
    </row>
    <row r="12540" spans="4:4" x14ac:dyDescent="0.45">
      <c r="D12540" s="47"/>
    </row>
    <row r="12541" spans="4:4" x14ac:dyDescent="0.45">
      <c r="D12541" s="47"/>
    </row>
    <row r="12542" spans="4:4" x14ac:dyDescent="0.45">
      <c r="D12542" s="47"/>
    </row>
    <row r="12543" spans="4:4" x14ac:dyDescent="0.45">
      <c r="D12543" s="47"/>
    </row>
    <row r="12544" spans="4:4" x14ac:dyDescent="0.45">
      <c r="D12544" s="47"/>
    </row>
    <row r="12545" spans="4:4" x14ac:dyDescent="0.45">
      <c r="D12545" s="47"/>
    </row>
    <row r="12546" spans="4:4" x14ac:dyDescent="0.45">
      <c r="D12546" s="47"/>
    </row>
    <row r="12547" spans="4:4" x14ac:dyDescent="0.45">
      <c r="D12547" s="47"/>
    </row>
    <row r="12548" spans="4:4" x14ac:dyDescent="0.45">
      <c r="D12548" s="47"/>
    </row>
    <row r="12549" spans="4:4" x14ac:dyDescent="0.45">
      <c r="D12549" s="47"/>
    </row>
    <row r="12550" spans="4:4" x14ac:dyDescent="0.45">
      <c r="D12550" s="47"/>
    </row>
    <row r="12551" spans="4:4" x14ac:dyDescent="0.45">
      <c r="D12551" s="47"/>
    </row>
    <row r="12552" spans="4:4" x14ac:dyDescent="0.45">
      <c r="D12552" s="47"/>
    </row>
    <row r="12553" spans="4:4" x14ac:dyDescent="0.45">
      <c r="D12553" s="47"/>
    </row>
    <row r="12554" spans="4:4" x14ac:dyDescent="0.45">
      <c r="D12554" s="47"/>
    </row>
    <row r="12555" spans="4:4" x14ac:dyDescent="0.45">
      <c r="D12555" s="47"/>
    </row>
    <row r="12556" spans="4:4" x14ac:dyDescent="0.45">
      <c r="D12556" s="47"/>
    </row>
    <row r="12557" spans="4:4" x14ac:dyDescent="0.45">
      <c r="D12557" s="47"/>
    </row>
    <row r="12558" spans="4:4" x14ac:dyDescent="0.45">
      <c r="D12558" s="47"/>
    </row>
    <row r="12559" spans="4:4" x14ac:dyDescent="0.45">
      <c r="D12559" s="47"/>
    </row>
    <row r="12560" spans="4:4" x14ac:dyDescent="0.45">
      <c r="D12560" s="47"/>
    </row>
    <row r="12561" spans="4:4" x14ac:dyDescent="0.45">
      <c r="D12561" s="47"/>
    </row>
    <row r="12562" spans="4:4" x14ac:dyDescent="0.45">
      <c r="D12562" s="47"/>
    </row>
    <row r="12563" spans="4:4" x14ac:dyDescent="0.45">
      <c r="D12563" s="47"/>
    </row>
    <row r="12564" spans="4:4" x14ac:dyDescent="0.45">
      <c r="D12564" s="47"/>
    </row>
    <row r="12565" spans="4:4" x14ac:dyDescent="0.45">
      <c r="D12565" s="47"/>
    </row>
    <row r="12566" spans="4:4" x14ac:dyDescent="0.45">
      <c r="D12566" s="47"/>
    </row>
    <row r="12567" spans="4:4" x14ac:dyDescent="0.45">
      <c r="D12567" s="47"/>
    </row>
    <row r="12568" spans="4:4" x14ac:dyDescent="0.45">
      <c r="D12568" s="47"/>
    </row>
    <row r="12569" spans="4:4" x14ac:dyDescent="0.45">
      <c r="D12569" s="47"/>
    </row>
    <row r="12570" spans="4:4" x14ac:dyDescent="0.45">
      <c r="D12570" s="47"/>
    </row>
    <row r="12571" spans="4:4" x14ac:dyDescent="0.45">
      <c r="D12571" s="47"/>
    </row>
    <row r="12572" spans="4:4" x14ac:dyDescent="0.45">
      <c r="D12572" s="47"/>
    </row>
    <row r="12573" spans="4:4" x14ac:dyDescent="0.45">
      <c r="D12573" s="47"/>
    </row>
    <row r="12574" spans="4:4" x14ac:dyDescent="0.45">
      <c r="D12574" s="47"/>
    </row>
    <row r="12575" spans="4:4" x14ac:dyDescent="0.45">
      <c r="D12575" s="47"/>
    </row>
    <row r="12576" spans="4:4" x14ac:dyDescent="0.45">
      <c r="D12576" s="47"/>
    </row>
    <row r="12577" spans="4:4" x14ac:dyDescent="0.45">
      <c r="D12577" s="47"/>
    </row>
    <row r="12578" spans="4:4" x14ac:dyDescent="0.45">
      <c r="D12578" s="47"/>
    </row>
    <row r="12579" spans="4:4" x14ac:dyDescent="0.45">
      <c r="D12579" s="47"/>
    </row>
    <row r="12580" spans="4:4" x14ac:dyDescent="0.45">
      <c r="D12580" s="47"/>
    </row>
    <row r="12581" spans="4:4" x14ac:dyDescent="0.45">
      <c r="D12581" s="47"/>
    </row>
    <row r="12582" spans="4:4" x14ac:dyDescent="0.45">
      <c r="D12582" s="47"/>
    </row>
    <row r="12583" spans="4:4" x14ac:dyDescent="0.45">
      <c r="D12583" s="47"/>
    </row>
    <row r="12584" spans="4:4" x14ac:dyDescent="0.45">
      <c r="D12584" s="47"/>
    </row>
    <row r="12585" spans="4:4" x14ac:dyDescent="0.45">
      <c r="D12585" s="47"/>
    </row>
    <row r="12586" spans="4:4" x14ac:dyDescent="0.45">
      <c r="D12586" s="47"/>
    </row>
    <row r="12587" spans="4:4" x14ac:dyDescent="0.45">
      <c r="D12587" s="47"/>
    </row>
    <row r="12588" spans="4:4" x14ac:dyDescent="0.45">
      <c r="D12588" s="47"/>
    </row>
    <row r="12589" spans="4:4" x14ac:dyDescent="0.45">
      <c r="D12589" s="47"/>
    </row>
    <row r="12590" spans="4:4" x14ac:dyDescent="0.45">
      <c r="D12590" s="47"/>
    </row>
    <row r="12591" spans="4:4" x14ac:dyDescent="0.45">
      <c r="D12591" s="47"/>
    </row>
    <row r="12592" spans="4:4" x14ac:dyDescent="0.45">
      <c r="D12592" s="47"/>
    </row>
    <row r="12593" spans="4:4" x14ac:dyDescent="0.45">
      <c r="D12593" s="47"/>
    </row>
    <row r="12594" spans="4:4" x14ac:dyDescent="0.45">
      <c r="D12594" s="47"/>
    </row>
    <row r="12595" spans="4:4" x14ac:dyDescent="0.45">
      <c r="D12595" s="47"/>
    </row>
    <row r="12596" spans="4:4" x14ac:dyDescent="0.45">
      <c r="D12596" s="47"/>
    </row>
    <row r="12597" spans="4:4" x14ac:dyDescent="0.45">
      <c r="D12597" s="47"/>
    </row>
    <row r="12598" spans="4:4" x14ac:dyDescent="0.45">
      <c r="D12598" s="47"/>
    </row>
    <row r="12599" spans="4:4" x14ac:dyDescent="0.45">
      <c r="D12599" s="47"/>
    </row>
    <row r="12600" spans="4:4" x14ac:dyDescent="0.45">
      <c r="D12600" s="47"/>
    </row>
    <row r="12601" spans="4:4" x14ac:dyDescent="0.45">
      <c r="D12601" s="47"/>
    </row>
    <row r="12602" spans="4:4" x14ac:dyDescent="0.45">
      <c r="D12602" s="47"/>
    </row>
    <row r="12603" spans="4:4" x14ac:dyDescent="0.45">
      <c r="D12603" s="47"/>
    </row>
    <row r="12604" spans="4:4" x14ac:dyDescent="0.45">
      <c r="D12604" s="47"/>
    </row>
    <row r="12605" spans="4:4" x14ac:dyDescent="0.45">
      <c r="D12605" s="47"/>
    </row>
    <row r="12606" spans="4:4" x14ac:dyDescent="0.45">
      <c r="D12606" s="47"/>
    </row>
    <row r="12607" spans="4:4" x14ac:dyDescent="0.45">
      <c r="D12607" s="47"/>
    </row>
    <row r="12608" spans="4:4" x14ac:dyDescent="0.45">
      <c r="D12608" s="47"/>
    </row>
    <row r="12609" spans="4:4" x14ac:dyDescent="0.45">
      <c r="D12609" s="47"/>
    </row>
    <row r="12610" spans="4:4" x14ac:dyDescent="0.45">
      <c r="D12610" s="47"/>
    </row>
    <row r="12611" spans="4:4" x14ac:dyDescent="0.45">
      <c r="D12611" s="47"/>
    </row>
    <row r="12612" spans="4:4" x14ac:dyDescent="0.45">
      <c r="D12612" s="47"/>
    </row>
    <row r="12613" spans="4:4" x14ac:dyDescent="0.45">
      <c r="D12613" s="47"/>
    </row>
    <row r="12614" spans="4:4" x14ac:dyDescent="0.45">
      <c r="D12614" s="47"/>
    </row>
    <row r="12615" spans="4:4" x14ac:dyDescent="0.45">
      <c r="D12615" s="47"/>
    </row>
    <row r="12616" spans="4:4" x14ac:dyDescent="0.45">
      <c r="D12616" s="47"/>
    </row>
    <row r="12617" spans="4:4" x14ac:dyDescent="0.45">
      <c r="D12617" s="47"/>
    </row>
    <row r="12618" spans="4:4" x14ac:dyDescent="0.45">
      <c r="D12618" s="47"/>
    </row>
    <row r="12619" spans="4:4" x14ac:dyDescent="0.45">
      <c r="D12619" s="47"/>
    </row>
    <row r="12620" spans="4:4" x14ac:dyDescent="0.45">
      <c r="D12620" s="47"/>
    </row>
    <row r="12621" spans="4:4" x14ac:dyDescent="0.45">
      <c r="D12621" s="47"/>
    </row>
    <row r="12622" spans="4:4" x14ac:dyDescent="0.45">
      <c r="D12622" s="47"/>
    </row>
    <row r="12623" spans="4:4" x14ac:dyDescent="0.45">
      <c r="D12623" s="47"/>
    </row>
    <row r="12624" spans="4:4" x14ac:dyDescent="0.45">
      <c r="D12624" s="47"/>
    </row>
    <row r="12625" spans="4:4" x14ac:dyDescent="0.45">
      <c r="D12625" s="47"/>
    </row>
    <row r="12626" spans="4:4" x14ac:dyDescent="0.45">
      <c r="D12626" s="47"/>
    </row>
    <row r="12627" spans="4:4" x14ac:dyDescent="0.45">
      <c r="D12627" s="47"/>
    </row>
    <row r="12628" spans="4:4" x14ac:dyDescent="0.45">
      <c r="D12628" s="47"/>
    </row>
    <row r="12629" spans="4:4" x14ac:dyDescent="0.45">
      <c r="D12629" s="47"/>
    </row>
    <row r="12630" spans="4:4" x14ac:dyDescent="0.45">
      <c r="D12630" s="47"/>
    </row>
    <row r="12631" spans="4:4" x14ac:dyDescent="0.45">
      <c r="D12631" s="47"/>
    </row>
    <row r="12632" spans="4:4" x14ac:dyDescent="0.45">
      <c r="D12632" s="47"/>
    </row>
    <row r="12633" spans="4:4" x14ac:dyDescent="0.45">
      <c r="D12633" s="47"/>
    </row>
    <row r="12634" spans="4:4" x14ac:dyDescent="0.45">
      <c r="D12634" s="47"/>
    </row>
    <row r="12635" spans="4:4" x14ac:dyDescent="0.45">
      <c r="D12635" s="47"/>
    </row>
    <row r="12636" spans="4:4" x14ac:dyDescent="0.45">
      <c r="D12636" s="47"/>
    </row>
    <row r="12637" spans="4:4" x14ac:dyDescent="0.45">
      <c r="D12637" s="47"/>
    </row>
    <row r="12638" spans="4:4" x14ac:dyDescent="0.45">
      <c r="D12638" s="47"/>
    </row>
    <row r="12639" spans="4:4" x14ac:dyDescent="0.45">
      <c r="D12639" s="47"/>
    </row>
    <row r="12640" spans="4:4" x14ac:dyDescent="0.45">
      <c r="D12640" s="47"/>
    </row>
    <row r="12641" spans="4:4" x14ac:dyDescent="0.45">
      <c r="D12641" s="47"/>
    </row>
    <row r="12642" spans="4:4" x14ac:dyDescent="0.45">
      <c r="D12642" s="47"/>
    </row>
    <row r="12643" spans="4:4" x14ac:dyDescent="0.45">
      <c r="D12643" s="47"/>
    </row>
    <row r="12644" spans="4:4" x14ac:dyDescent="0.45">
      <c r="D12644" s="47"/>
    </row>
    <row r="12645" spans="4:4" x14ac:dyDescent="0.45">
      <c r="D12645" s="47"/>
    </row>
    <row r="12646" spans="4:4" x14ac:dyDescent="0.45">
      <c r="D12646" s="47"/>
    </row>
    <row r="12647" spans="4:4" x14ac:dyDescent="0.45">
      <c r="D12647" s="47"/>
    </row>
    <row r="12648" spans="4:4" x14ac:dyDescent="0.45">
      <c r="D12648" s="47"/>
    </row>
    <row r="12649" spans="4:4" x14ac:dyDescent="0.45">
      <c r="D12649" s="47"/>
    </row>
    <row r="12650" spans="4:4" x14ac:dyDescent="0.45">
      <c r="D12650" s="47"/>
    </row>
    <row r="12651" spans="4:4" x14ac:dyDescent="0.45">
      <c r="D12651" s="47"/>
    </row>
    <row r="12652" spans="4:4" x14ac:dyDescent="0.45">
      <c r="D12652" s="47"/>
    </row>
    <row r="12653" spans="4:4" x14ac:dyDescent="0.45">
      <c r="D12653" s="47"/>
    </row>
    <row r="12654" spans="4:4" x14ac:dyDescent="0.45">
      <c r="D12654" s="47"/>
    </row>
    <row r="12655" spans="4:4" x14ac:dyDescent="0.45">
      <c r="D12655" s="47"/>
    </row>
    <row r="12656" spans="4:4" x14ac:dyDescent="0.45">
      <c r="D12656" s="47"/>
    </row>
    <row r="12657" spans="4:4" x14ac:dyDescent="0.45">
      <c r="D12657" s="47"/>
    </row>
    <row r="12658" spans="4:4" x14ac:dyDescent="0.45">
      <c r="D12658" s="47"/>
    </row>
    <row r="12659" spans="4:4" x14ac:dyDescent="0.45">
      <c r="D12659" s="47"/>
    </row>
    <row r="12660" spans="4:4" x14ac:dyDescent="0.45">
      <c r="D12660" s="47"/>
    </row>
    <row r="12661" spans="4:4" x14ac:dyDescent="0.45">
      <c r="D12661" s="47"/>
    </row>
    <row r="12662" spans="4:4" x14ac:dyDescent="0.45">
      <c r="D12662" s="47"/>
    </row>
    <row r="12663" spans="4:4" x14ac:dyDescent="0.45">
      <c r="D12663" s="47"/>
    </row>
    <row r="12664" spans="4:4" x14ac:dyDescent="0.45">
      <c r="D12664" s="47"/>
    </row>
    <row r="12665" spans="4:4" x14ac:dyDescent="0.45">
      <c r="D12665" s="47"/>
    </row>
    <row r="12666" spans="4:4" x14ac:dyDescent="0.45">
      <c r="D12666" s="47"/>
    </row>
    <row r="12667" spans="4:4" x14ac:dyDescent="0.45">
      <c r="D12667" s="47"/>
    </row>
    <row r="12668" spans="4:4" x14ac:dyDescent="0.45">
      <c r="D12668" s="47"/>
    </row>
    <row r="12669" spans="4:4" x14ac:dyDescent="0.45">
      <c r="D12669" s="47"/>
    </row>
    <row r="12670" spans="4:4" x14ac:dyDescent="0.45">
      <c r="D12670" s="47"/>
    </row>
    <row r="12671" spans="4:4" x14ac:dyDescent="0.45">
      <c r="D12671" s="47"/>
    </row>
    <row r="12672" spans="4:4" x14ac:dyDescent="0.45">
      <c r="D12672" s="47"/>
    </row>
    <row r="12673" spans="4:4" x14ac:dyDescent="0.45">
      <c r="D12673" s="47"/>
    </row>
    <row r="12674" spans="4:4" x14ac:dyDescent="0.45">
      <c r="D12674" s="47"/>
    </row>
    <row r="12675" spans="4:4" x14ac:dyDescent="0.45">
      <c r="D12675" s="47"/>
    </row>
    <row r="12676" spans="4:4" x14ac:dyDescent="0.45">
      <c r="D12676" s="47"/>
    </row>
    <row r="12677" spans="4:4" x14ac:dyDescent="0.45">
      <c r="D12677" s="47"/>
    </row>
    <row r="12678" spans="4:4" x14ac:dyDescent="0.45">
      <c r="D12678" s="47"/>
    </row>
    <row r="12679" spans="4:4" x14ac:dyDescent="0.45">
      <c r="D12679" s="47"/>
    </row>
    <row r="12680" spans="4:4" x14ac:dyDescent="0.45">
      <c r="D12680" s="47"/>
    </row>
    <row r="12681" spans="4:4" x14ac:dyDescent="0.45">
      <c r="D12681" s="47"/>
    </row>
    <row r="12682" spans="4:4" x14ac:dyDescent="0.45">
      <c r="D12682" s="47"/>
    </row>
    <row r="12683" spans="4:4" x14ac:dyDescent="0.45">
      <c r="D12683" s="47"/>
    </row>
    <row r="12684" spans="4:4" x14ac:dyDescent="0.45">
      <c r="D12684" s="47"/>
    </row>
    <row r="12685" spans="4:4" x14ac:dyDescent="0.45">
      <c r="D12685" s="47"/>
    </row>
    <row r="12686" spans="4:4" x14ac:dyDescent="0.45">
      <c r="D12686" s="47"/>
    </row>
    <row r="12687" spans="4:4" x14ac:dyDescent="0.45">
      <c r="D12687" s="47"/>
    </row>
    <row r="12688" spans="4:4" x14ac:dyDescent="0.45">
      <c r="D12688" s="47"/>
    </row>
    <row r="12689" spans="4:4" x14ac:dyDescent="0.45">
      <c r="D12689" s="47"/>
    </row>
    <row r="12690" spans="4:4" x14ac:dyDescent="0.45">
      <c r="D12690" s="47"/>
    </row>
    <row r="12691" spans="4:4" x14ac:dyDescent="0.45">
      <c r="D12691" s="47"/>
    </row>
    <row r="12692" spans="4:4" x14ac:dyDescent="0.45">
      <c r="D12692" s="47"/>
    </row>
    <row r="12693" spans="4:4" x14ac:dyDescent="0.45">
      <c r="D12693" s="47"/>
    </row>
    <row r="12694" spans="4:4" x14ac:dyDescent="0.45">
      <c r="D12694" s="47"/>
    </row>
    <row r="12695" spans="4:4" x14ac:dyDescent="0.45">
      <c r="D12695" s="47"/>
    </row>
    <row r="12696" spans="4:4" x14ac:dyDescent="0.45">
      <c r="D12696" s="47"/>
    </row>
    <row r="12697" spans="4:4" x14ac:dyDescent="0.45">
      <c r="D12697" s="47"/>
    </row>
    <row r="12698" spans="4:4" x14ac:dyDescent="0.45">
      <c r="D12698" s="47"/>
    </row>
    <row r="12699" spans="4:4" x14ac:dyDescent="0.45">
      <c r="D12699" s="47"/>
    </row>
    <row r="12700" spans="4:4" x14ac:dyDescent="0.45">
      <c r="D12700" s="47"/>
    </row>
    <row r="12701" spans="4:4" x14ac:dyDescent="0.45">
      <c r="D12701" s="47"/>
    </row>
    <row r="12702" spans="4:4" x14ac:dyDescent="0.45">
      <c r="D12702" s="47"/>
    </row>
    <row r="12703" spans="4:4" x14ac:dyDescent="0.45">
      <c r="D12703" s="47"/>
    </row>
    <row r="12704" spans="4:4" x14ac:dyDescent="0.45">
      <c r="D12704" s="47"/>
    </row>
    <row r="12705" spans="4:4" x14ac:dyDescent="0.45">
      <c r="D12705" s="47"/>
    </row>
    <row r="12706" spans="4:4" x14ac:dyDescent="0.45">
      <c r="D12706" s="47"/>
    </row>
    <row r="12707" spans="4:4" x14ac:dyDescent="0.45">
      <c r="D12707" s="47"/>
    </row>
    <row r="12708" spans="4:4" x14ac:dyDescent="0.45">
      <c r="D12708" s="47"/>
    </row>
    <row r="12709" spans="4:4" x14ac:dyDescent="0.45">
      <c r="D12709" s="47"/>
    </row>
    <row r="12710" spans="4:4" x14ac:dyDescent="0.45">
      <c r="D12710" s="47"/>
    </row>
    <row r="12711" spans="4:4" x14ac:dyDescent="0.45">
      <c r="D12711" s="47"/>
    </row>
    <row r="12712" spans="4:4" x14ac:dyDescent="0.45">
      <c r="D12712" s="47"/>
    </row>
    <row r="12713" spans="4:4" x14ac:dyDescent="0.45">
      <c r="D12713" s="47"/>
    </row>
    <row r="12714" spans="4:4" x14ac:dyDescent="0.45">
      <c r="D12714" s="47"/>
    </row>
    <row r="12715" spans="4:4" x14ac:dyDescent="0.45">
      <c r="D12715" s="47"/>
    </row>
    <row r="12716" spans="4:4" x14ac:dyDescent="0.45">
      <c r="D12716" s="47"/>
    </row>
    <row r="12717" spans="4:4" x14ac:dyDescent="0.45">
      <c r="D12717" s="47"/>
    </row>
    <row r="12718" spans="4:4" x14ac:dyDescent="0.45">
      <c r="D12718" s="47"/>
    </row>
    <row r="12719" spans="4:4" x14ac:dyDescent="0.45">
      <c r="D12719" s="47"/>
    </row>
    <row r="12720" spans="4:4" x14ac:dyDescent="0.45">
      <c r="D12720" s="47"/>
    </row>
    <row r="12721" spans="4:4" x14ac:dyDescent="0.45">
      <c r="D12721" s="47"/>
    </row>
    <row r="12722" spans="4:4" x14ac:dyDescent="0.45">
      <c r="D12722" s="47"/>
    </row>
    <row r="12723" spans="4:4" x14ac:dyDescent="0.45">
      <c r="D12723" s="47"/>
    </row>
    <row r="12724" spans="4:4" x14ac:dyDescent="0.45">
      <c r="D12724" s="47"/>
    </row>
    <row r="12725" spans="4:4" x14ac:dyDescent="0.45">
      <c r="D12725" s="47"/>
    </row>
    <row r="12726" spans="4:4" x14ac:dyDescent="0.45">
      <c r="D12726" s="47"/>
    </row>
    <row r="12727" spans="4:4" x14ac:dyDescent="0.45">
      <c r="D12727" s="47"/>
    </row>
    <row r="12728" spans="4:4" x14ac:dyDescent="0.45">
      <c r="D12728" s="47"/>
    </row>
    <row r="12729" spans="4:4" x14ac:dyDescent="0.45">
      <c r="D12729" s="47"/>
    </row>
    <row r="12730" spans="4:4" x14ac:dyDescent="0.45">
      <c r="D12730" s="47"/>
    </row>
    <row r="12731" spans="4:4" x14ac:dyDescent="0.45">
      <c r="D12731" s="47"/>
    </row>
    <row r="12732" spans="4:4" x14ac:dyDescent="0.45">
      <c r="D12732" s="47"/>
    </row>
    <row r="12733" spans="4:4" x14ac:dyDescent="0.45">
      <c r="D12733" s="47"/>
    </row>
    <row r="12734" spans="4:4" x14ac:dyDescent="0.45">
      <c r="D12734" s="47"/>
    </row>
    <row r="12735" spans="4:4" x14ac:dyDescent="0.45">
      <c r="D12735" s="47"/>
    </row>
    <row r="12736" spans="4:4" x14ac:dyDescent="0.45">
      <c r="D12736" s="47"/>
    </row>
    <row r="12737" spans="4:4" x14ac:dyDescent="0.45">
      <c r="D12737" s="47"/>
    </row>
    <row r="12738" spans="4:4" x14ac:dyDescent="0.45">
      <c r="D12738" s="47"/>
    </row>
    <row r="12739" spans="4:4" x14ac:dyDescent="0.45">
      <c r="D12739" s="47"/>
    </row>
    <row r="12740" spans="4:4" x14ac:dyDescent="0.45">
      <c r="D12740" s="47"/>
    </row>
    <row r="12741" spans="4:4" x14ac:dyDescent="0.45">
      <c r="D12741" s="47"/>
    </row>
    <row r="12742" spans="4:4" x14ac:dyDescent="0.45">
      <c r="D12742" s="47"/>
    </row>
    <row r="12743" spans="4:4" x14ac:dyDescent="0.45">
      <c r="D12743" s="47"/>
    </row>
    <row r="12744" spans="4:4" x14ac:dyDescent="0.45">
      <c r="D12744" s="47"/>
    </row>
    <row r="12745" spans="4:4" x14ac:dyDescent="0.45">
      <c r="D12745" s="47"/>
    </row>
    <row r="12746" spans="4:4" x14ac:dyDescent="0.45">
      <c r="D12746" s="47"/>
    </row>
    <row r="12747" spans="4:4" x14ac:dyDescent="0.45">
      <c r="D12747" s="47"/>
    </row>
    <row r="12748" spans="4:4" x14ac:dyDescent="0.45">
      <c r="D12748" s="47"/>
    </row>
    <row r="12749" spans="4:4" x14ac:dyDescent="0.45">
      <c r="D12749" s="47"/>
    </row>
    <row r="12750" spans="4:4" x14ac:dyDescent="0.45">
      <c r="D12750" s="47"/>
    </row>
    <row r="12751" spans="4:4" x14ac:dyDescent="0.45">
      <c r="D12751" s="47"/>
    </row>
    <row r="12752" spans="4:4" x14ac:dyDescent="0.45">
      <c r="D12752" s="47"/>
    </row>
    <row r="12753" spans="4:4" x14ac:dyDescent="0.45">
      <c r="D12753" s="47"/>
    </row>
    <row r="12754" spans="4:4" x14ac:dyDescent="0.45">
      <c r="D12754" s="47"/>
    </row>
    <row r="12755" spans="4:4" x14ac:dyDescent="0.45">
      <c r="D12755" s="47"/>
    </row>
    <row r="12756" spans="4:4" x14ac:dyDescent="0.45">
      <c r="D12756" s="47"/>
    </row>
    <row r="12757" spans="4:4" x14ac:dyDescent="0.45">
      <c r="D12757" s="47"/>
    </row>
    <row r="12758" spans="4:4" x14ac:dyDescent="0.45">
      <c r="D12758" s="47"/>
    </row>
    <row r="12759" spans="4:4" x14ac:dyDescent="0.45">
      <c r="D12759" s="47"/>
    </row>
    <row r="12760" spans="4:4" x14ac:dyDescent="0.45">
      <c r="D12760" s="47"/>
    </row>
    <row r="12761" spans="4:4" x14ac:dyDescent="0.45">
      <c r="D12761" s="47"/>
    </row>
    <row r="12762" spans="4:4" x14ac:dyDescent="0.45">
      <c r="D12762" s="47"/>
    </row>
    <row r="12763" spans="4:4" x14ac:dyDescent="0.45">
      <c r="D12763" s="47"/>
    </row>
    <row r="12764" spans="4:4" x14ac:dyDescent="0.45">
      <c r="D12764" s="47"/>
    </row>
    <row r="12765" spans="4:4" x14ac:dyDescent="0.45">
      <c r="D12765" s="47"/>
    </row>
    <row r="12766" spans="4:4" x14ac:dyDescent="0.45">
      <c r="D12766" s="47"/>
    </row>
    <row r="12767" spans="4:4" x14ac:dyDescent="0.45">
      <c r="D12767" s="47"/>
    </row>
    <row r="12768" spans="4:4" x14ac:dyDescent="0.45">
      <c r="D12768" s="47"/>
    </row>
    <row r="12769" spans="4:4" x14ac:dyDescent="0.45">
      <c r="D12769" s="47"/>
    </row>
    <row r="12770" spans="4:4" x14ac:dyDescent="0.45">
      <c r="D12770" s="47"/>
    </row>
    <row r="12771" spans="4:4" x14ac:dyDescent="0.45">
      <c r="D12771" s="47"/>
    </row>
    <row r="12772" spans="4:4" x14ac:dyDescent="0.45">
      <c r="D12772" s="47"/>
    </row>
    <row r="12773" spans="4:4" x14ac:dyDescent="0.45">
      <c r="D12773" s="47"/>
    </row>
    <row r="12774" spans="4:4" x14ac:dyDescent="0.45">
      <c r="D12774" s="47"/>
    </row>
    <row r="12775" spans="4:4" x14ac:dyDescent="0.45">
      <c r="D12775" s="47"/>
    </row>
    <row r="12776" spans="4:4" x14ac:dyDescent="0.45">
      <c r="D12776" s="47"/>
    </row>
    <row r="12777" spans="4:4" x14ac:dyDescent="0.45">
      <c r="D12777" s="47"/>
    </row>
    <row r="12778" spans="4:4" x14ac:dyDescent="0.45">
      <c r="D12778" s="47"/>
    </row>
    <row r="12779" spans="4:4" x14ac:dyDescent="0.45">
      <c r="D12779" s="47"/>
    </row>
    <row r="12780" spans="4:4" x14ac:dyDescent="0.45">
      <c r="D12780" s="47"/>
    </row>
    <row r="12781" spans="4:4" x14ac:dyDescent="0.45">
      <c r="D12781" s="47"/>
    </row>
    <row r="12782" spans="4:4" x14ac:dyDescent="0.45">
      <c r="D12782" s="47"/>
    </row>
    <row r="12783" spans="4:4" x14ac:dyDescent="0.45">
      <c r="D12783" s="47"/>
    </row>
    <row r="12784" spans="4:4" x14ac:dyDescent="0.45">
      <c r="D12784" s="47"/>
    </row>
    <row r="12785" spans="4:4" x14ac:dyDescent="0.45">
      <c r="D12785" s="47"/>
    </row>
    <row r="12786" spans="4:4" x14ac:dyDescent="0.45">
      <c r="D12786" s="47"/>
    </row>
    <row r="12787" spans="4:4" x14ac:dyDescent="0.45">
      <c r="D12787" s="47"/>
    </row>
    <row r="12788" spans="4:4" x14ac:dyDescent="0.45">
      <c r="D12788" s="47"/>
    </row>
    <row r="12789" spans="4:4" x14ac:dyDescent="0.45">
      <c r="D12789" s="47"/>
    </row>
    <row r="12790" spans="4:4" x14ac:dyDescent="0.45">
      <c r="D12790" s="47"/>
    </row>
    <row r="12791" spans="4:4" x14ac:dyDescent="0.45">
      <c r="D12791" s="47"/>
    </row>
    <row r="12792" spans="4:4" x14ac:dyDescent="0.45">
      <c r="D12792" s="47"/>
    </row>
    <row r="12793" spans="4:4" x14ac:dyDescent="0.45">
      <c r="D12793" s="47"/>
    </row>
    <row r="12794" spans="4:4" x14ac:dyDescent="0.45">
      <c r="D12794" s="47"/>
    </row>
    <row r="12795" spans="4:4" x14ac:dyDescent="0.45">
      <c r="D12795" s="47"/>
    </row>
    <row r="12796" spans="4:4" x14ac:dyDescent="0.45">
      <c r="D12796" s="47"/>
    </row>
    <row r="12797" spans="4:4" x14ac:dyDescent="0.45">
      <c r="D12797" s="47"/>
    </row>
    <row r="12798" spans="4:4" x14ac:dyDescent="0.45">
      <c r="D12798" s="47"/>
    </row>
    <row r="12799" spans="4:4" x14ac:dyDescent="0.45">
      <c r="D12799" s="47"/>
    </row>
    <row r="12800" spans="4:4" x14ac:dyDescent="0.45">
      <c r="D12800" s="47"/>
    </row>
    <row r="12801" spans="4:4" x14ac:dyDescent="0.45">
      <c r="D12801" s="47"/>
    </row>
    <row r="12802" spans="4:4" x14ac:dyDescent="0.45">
      <c r="D12802" s="47"/>
    </row>
    <row r="12803" spans="4:4" x14ac:dyDescent="0.45">
      <c r="D12803" s="47"/>
    </row>
    <row r="12804" spans="4:4" x14ac:dyDescent="0.45">
      <c r="D12804" s="47"/>
    </row>
    <row r="12805" spans="4:4" x14ac:dyDescent="0.45">
      <c r="D12805" s="47"/>
    </row>
    <row r="12806" spans="4:4" x14ac:dyDescent="0.45">
      <c r="D12806" s="47"/>
    </row>
    <row r="12807" spans="4:4" x14ac:dyDescent="0.45">
      <c r="D12807" s="47"/>
    </row>
    <row r="12808" spans="4:4" x14ac:dyDescent="0.45">
      <c r="D12808" s="47"/>
    </row>
    <row r="12809" spans="4:4" x14ac:dyDescent="0.45">
      <c r="D12809" s="47"/>
    </row>
    <row r="12810" spans="4:4" x14ac:dyDescent="0.45">
      <c r="D12810" s="47"/>
    </row>
    <row r="12811" spans="4:4" x14ac:dyDescent="0.45">
      <c r="D12811" s="47"/>
    </row>
    <row r="12812" spans="4:4" x14ac:dyDescent="0.45">
      <c r="D12812" s="47"/>
    </row>
    <row r="12813" spans="4:4" x14ac:dyDescent="0.45">
      <c r="D12813" s="47"/>
    </row>
    <row r="12814" spans="4:4" x14ac:dyDescent="0.45">
      <c r="D12814" s="47"/>
    </row>
    <row r="12815" spans="4:4" x14ac:dyDescent="0.45">
      <c r="D12815" s="47"/>
    </row>
    <row r="12816" spans="4:4" x14ac:dyDescent="0.45">
      <c r="D12816" s="47"/>
    </row>
    <row r="12817" spans="4:4" x14ac:dyDescent="0.45">
      <c r="D12817" s="47"/>
    </row>
    <row r="12818" spans="4:4" x14ac:dyDescent="0.45">
      <c r="D12818" s="47"/>
    </row>
    <row r="12819" spans="4:4" x14ac:dyDescent="0.45">
      <c r="D12819" s="47"/>
    </row>
    <row r="12820" spans="4:4" x14ac:dyDescent="0.45">
      <c r="D12820" s="47"/>
    </row>
    <row r="12821" spans="4:4" x14ac:dyDescent="0.45">
      <c r="D12821" s="47"/>
    </row>
    <row r="12822" spans="4:4" x14ac:dyDescent="0.45">
      <c r="D12822" s="47"/>
    </row>
    <row r="12823" spans="4:4" x14ac:dyDescent="0.45">
      <c r="D12823" s="47"/>
    </row>
    <row r="12824" spans="4:4" x14ac:dyDescent="0.45">
      <c r="D12824" s="47"/>
    </row>
    <row r="12825" spans="4:4" x14ac:dyDescent="0.45">
      <c r="D12825" s="47"/>
    </row>
    <row r="12826" spans="4:4" x14ac:dyDescent="0.45">
      <c r="D12826" s="47"/>
    </row>
    <row r="12827" spans="4:4" x14ac:dyDescent="0.45">
      <c r="D12827" s="47"/>
    </row>
    <row r="12828" spans="4:4" x14ac:dyDescent="0.45">
      <c r="D12828" s="47"/>
    </row>
    <row r="12829" spans="4:4" x14ac:dyDescent="0.45">
      <c r="D12829" s="47"/>
    </row>
    <row r="12830" spans="4:4" x14ac:dyDescent="0.45">
      <c r="D12830" s="47"/>
    </row>
    <row r="12831" spans="4:4" x14ac:dyDescent="0.45">
      <c r="D12831" s="47"/>
    </row>
    <row r="12832" spans="4:4" x14ac:dyDescent="0.45">
      <c r="D12832" s="47"/>
    </row>
    <row r="12833" spans="4:4" x14ac:dyDescent="0.45">
      <c r="D12833" s="47"/>
    </row>
    <row r="12834" spans="4:4" x14ac:dyDescent="0.45">
      <c r="D12834" s="47"/>
    </row>
    <row r="12835" spans="4:4" x14ac:dyDescent="0.45">
      <c r="D12835" s="47"/>
    </row>
    <row r="12836" spans="4:4" x14ac:dyDescent="0.45">
      <c r="D12836" s="47"/>
    </row>
    <row r="12837" spans="4:4" x14ac:dyDescent="0.45">
      <c r="D12837" s="47"/>
    </row>
    <row r="12838" spans="4:4" x14ac:dyDescent="0.45">
      <c r="D12838" s="47"/>
    </row>
    <row r="12839" spans="4:4" x14ac:dyDescent="0.45">
      <c r="D12839" s="47"/>
    </row>
    <row r="12840" spans="4:4" x14ac:dyDescent="0.45">
      <c r="D12840" s="47"/>
    </row>
    <row r="12841" spans="4:4" x14ac:dyDescent="0.45">
      <c r="D12841" s="47"/>
    </row>
    <row r="12842" spans="4:4" x14ac:dyDescent="0.45">
      <c r="D12842" s="47"/>
    </row>
    <row r="12843" spans="4:4" x14ac:dyDescent="0.45">
      <c r="D12843" s="47"/>
    </row>
    <row r="12844" spans="4:4" x14ac:dyDescent="0.45">
      <c r="D12844" s="47"/>
    </row>
    <row r="12845" spans="4:4" x14ac:dyDescent="0.45">
      <c r="D12845" s="47"/>
    </row>
    <row r="12846" spans="4:4" x14ac:dyDescent="0.45">
      <c r="D12846" s="47"/>
    </row>
    <row r="12847" spans="4:4" x14ac:dyDescent="0.45">
      <c r="D12847" s="47"/>
    </row>
    <row r="12848" spans="4:4" x14ac:dyDescent="0.45">
      <c r="D12848" s="47"/>
    </row>
    <row r="12849" spans="4:4" x14ac:dyDescent="0.45">
      <c r="D12849" s="47"/>
    </row>
    <row r="12850" spans="4:4" x14ac:dyDescent="0.45">
      <c r="D12850" s="47"/>
    </row>
    <row r="12851" spans="4:4" x14ac:dyDescent="0.45">
      <c r="D12851" s="47"/>
    </row>
    <row r="12852" spans="4:4" x14ac:dyDescent="0.45">
      <c r="D12852" s="47"/>
    </row>
    <row r="12853" spans="4:4" x14ac:dyDescent="0.45">
      <c r="D12853" s="47"/>
    </row>
    <row r="12854" spans="4:4" x14ac:dyDescent="0.45">
      <c r="D12854" s="47"/>
    </row>
    <row r="12855" spans="4:4" x14ac:dyDescent="0.45">
      <c r="D12855" s="47"/>
    </row>
    <row r="12856" spans="4:4" x14ac:dyDescent="0.45">
      <c r="D12856" s="47"/>
    </row>
    <row r="12857" spans="4:4" x14ac:dyDescent="0.45">
      <c r="D12857" s="47"/>
    </row>
    <row r="12858" spans="4:4" x14ac:dyDescent="0.45">
      <c r="D12858" s="47"/>
    </row>
    <row r="12859" spans="4:4" x14ac:dyDescent="0.45">
      <c r="D12859" s="47"/>
    </row>
    <row r="12860" spans="4:4" x14ac:dyDescent="0.45">
      <c r="D12860" s="47"/>
    </row>
    <row r="12861" spans="4:4" x14ac:dyDescent="0.45">
      <c r="D12861" s="47"/>
    </row>
    <row r="12862" spans="4:4" x14ac:dyDescent="0.45">
      <c r="D12862" s="47"/>
    </row>
    <row r="12863" spans="4:4" x14ac:dyDescent="0.45">
      <c r="D12863" s="47"/>
    </row>
    <row r="12864" spans="4:4" x14ac:dyDescent="0.45">
      <c r="D12864" s="47"/>
    </row>
    <row r="12865" spans="4:4" x14ac:dyDescent="0.45">
      <c r="D12865" s="47"/>
    </row>
    <row r="12866" spans="4:4" x14ac:dyDescent="0.45">
      <c r="D12866" s="47"/>
    </row>
    <row r="12867" spans="4:4" x14ac:dyDescent="0.45">
      <c r="D12867" s="47"/>
    </row>
    <row r="12868" spans="4:4" x14ac:dyDescent="0.45">
      <c r="D12868" s="47"/>
    </row>
    <row r="12869" spans="4:4" x14ac:dyDescent="0.45">
      <c r="D12869" s="47"/>
    </row>
    <row r="12870" spans="4:4" x14ac:dyDescent="0.45">
      <c r="D12870" s="47"/>
    </row>
    <row r="12871" spans="4:4" x14ac:dyDescent="0.45">
      <c r="D12871" s="47"/>
    </row>
    <row r="12872" spans="4:4" x14ac:dyDescent="0.45">
      <c r="D12872" s="47"/>
    </row>
    <row r="12873" spans="4:4" x14ac:dyDescent="0.45">
      <c r="D12873" s="47"/>
    </row>
    <row r="12874" spans="4:4" x14ac:dyDescent="0.45">
      <c r="D12874" s="47"/>
    </row>
    <row r="12875" spans="4:4" x14ac:dyDescent="0.45">
      <c r="D12875" s="47"/>
    </row>
    <row r="12876" spans="4:4" x14ac:dyDescent="0.45">
      <c r="D12876" s="47"/>
    </row>
    <row r="12877" spans="4:4" x14ac:dyDescent="0.45">
      <c r="D12877" s="47"/>
    </row>
    <row r="12878" spans="4:4" x14ac:dyDescent="0.45">
      <c r="D12878" s="47"/>
    </row>
    <row r="12879" spans="4:4" x14ac:dyDescent="0.45">
      <c r="D12879" s="47"/>
    </row>
    <row r="12880" spans="4:4" x14ac:dyDescent="0.45">
      <c r="D12880" s="47"/>
    </row>
    <row r="12881" spans="4:4" x14ac:dyDescent="0.45">
      <c r="D12881" s="47"/>
    </row>
    <row r="12882" spans="4:4" x14ac:dyDescent="0.45">
      <c r="D12882" s="47"/>
    </row>
    <row r="12883" spans="4:4" x14ac:dyDescent="0.45">
      <c r="D12883" s="47"/>
    </row>
    <row r="12884" spans="4:4" x14ac:dyDescent="0.45">
      <c r="D12884" s="47"/>
    </row>
    <row r="12885" spans="4:4" x14ac:dyDescent="0.45">
      <c r="D12885" s="47"/>
    </row>
    <row r="12886" spans="4:4" x14ac:dyDescent="0.45">
      <c r="D12886" s="47"/>
    </row>
    <row r="12887" spans="4:4" x14ac:dyDescent="0.45">
      <c r="D12887" s="47"/>
    </row>
    <row r="12888" spans="4:4" x14ac:dyDescent="0.45">
      <c r="D12888" s="47"/>
    </row>
    <row r="12889" spans="4:4" x14ac:dyDescent="0.45">
      <c r="D12889" s="47"/>
    </row>
    <row r="12890" spans="4:4" x14ac:dyDescent="0.45">
      <c r="D12890" s="47"/>
    </row>
    <row r="12891" spans="4:4" x14ac:dyDescent="0.45">
      <c r="D12891" s="47"/>
    </row>
    <row r="12892" spans="4:4" x14ac:dyDescent="0.45">
      <c r="D12892" s="47"/>
    </row>
    <row r="12893" spans="4:4" x14ac:dyDescent="0.45">
      <c r="D12893" s="47"/>
    </row>
    <row r="12894" spans="4:4" x14ac:dyDescent="0.45">
      <c r="D12894" s="47"/>
    </row>
    <row r="12895" spans="4:4" x14ac:dyDescent="0.45">
      <c r="D12895" s="47"/>
    </row>
    <row r="12896" spans="4:4" x14ac:dyDescent="0.45">
      <c r="D12896" s="47"/>
    </row>
    <row r="12897" spans="4:4" x14ac:dyDescent="0.45">
      <c r="D12897" s="47"/>
    </row>
    <row r="12898" spans="4:4" x14ac:dyDescent="0.45">
      <c r="D12898" s="47"/>
    </row>
    <row r="12899" spans="4:4" x14ac:dyDescent="0.45">
      <c r="D12899" s="47"/>
    </row>
    <row r="12900" spans="4:4" x14ac:dyDescent="0.45">
      <c r="D12900" s="47"/>
    </row>
    <row r="12901" spans="4:4" x14ac:dyDescent="0.45">
      <c r="D12901" s="47"/>
    </row>
    <row r="12902" spans="4:4" x14ac:dyDescent="0.45">
      <c r="D12902" s="47"/>
    </row>
    <row r="12903" spans="4:4" x14ac:dyDescent="0.45">
      <c r="D12903" s="47"/>
    </row>
    <row r="12904" spans="4:4" x14ac:dyDescent="0.45">
      <c r="D12904" s="47"/>
    </row>
    <row r="12905" spans="4:4" x14ac:dyDescent="0.45">
      <c r="D12905" s="47"/>
    </row>
    <row r="12906" spans="4:4" x14ac:dyDescent="0.45">
      <c r="D12906" s="47"/>
    </row>
    <row r="12907" spans="4:4" x14ac:dyDescent="0.45">
      <c r="D12907" s="47"/>
    </row>
    <row r="12908" spans="4:4" x14ac:dyDescent="0.45">
      <c r="D12908" s="47"/>
    </row>
    <row r="12909" spans="4:4" x14ac:dyDescent="0.45">
      <c r="D12909" s="47"/>
    </row>
    <row r="12910" spans="4:4" x14ac:dyDescent="0.45">
      <c r="D12910" s="47"/>
    </row>
    <row r="12911" spans="4:4" x14ac:dyDescent="0.45">
      <c r="D12911" s="47"/>
    </row>
    <row r="12912" spans="4:4" x14ac:dyDescent="0.45">
      <c r="D12912" s="47"/>
    </row>
    <row r="12913" spans="4:4" x14ac:dyDescent="0.45">
      <c r="D12913" s="47"/>
    </row>
    <row r="12914" spans="4:4" x14ac:dyDescent="0.45">
      <c r="D12914" s="47"/>
    </row>
    <row r="12915" spans="4:4" x14ac:dyDescent="0.45">
      <c r="D12915" s="47"/>
    </row>
    <row r="12916" spans="4:4" x14ac:dyDescent="0.45">
      <c r="D12916" s="47"/>
    </row>
    <row r="12917" spans="4:4" x14ac:dyDescent="0.45">
      <c r="D12917" s="47"/>
    </row>
    <row r="12918" spans="4:4" x14ac:dyDescent="0.45">
      <c r="D12918" s="47"/>
    </row>
    <row r="12919" spans="4:4" x14ac:dyDescent="0.45">
      <c r="D12919" s="47"/>
    </row>
    <row r="12920" spans="4:4" x14ac:dyDescent="0.45">
      <c r="D12920" s="47"/>
    </row>
    <row r="12921" spans="4:4" x14ac:dyDescent="0.45">
      <c r="D12921" s="47"/>
    </row>
    <row r="12922" spans="4:4" x14ac:dyDescent="0.45">
      <c r="D12922" s="47"/>
    </row>
    <row r="12923" spans="4:4" x14ac:dyDescent="0.45">
      <c r="D12923" s="47"/>
    </row>
    <row r="12924" spans="4:4" x14ac:dyDescent="0.45">
      <c r="D12924" s="47"/>
    </row>
    <row r="12925" spans="4:4" x14ac:dyDescent="0.45">
      <c r="D12925" s="47"/>
    </row>
    <row r="12926" spans="4:4" x14ac:dyDescent="0.45">
      <c r="D12926" s="47"/>
    </row>
    <row r="12927" spans="4:4" x14ac:dyDescent="0.45">
      <c r="D12927" s="47"/>
    </row>
    <row r="12928" spans="4:4" x14ac:dyDescent="0.45">
      <c r="D12928" s="47"/>
    </row>
    <row r="12929" spans="4:4" x14ac:dyDescent="0.45">
      <c r="D12929" s="47"/>
    </row>
    <row r="12930" spans="4:4" x14ac:dyDescent="0.45">
      <c r="D12930" s="47"/>
    </row>
    <row r="12931" spans="4:4" x14ac:dyDescent="0.45">
      <c r="D12931" s="47"/>
    </row>
    <row r="12932" spans="4:4" x14ac:dyDescent="0.45">
      <c r="D12932" s="47"/>
    </row>
    <row r="12933" spans="4:4" x14ac:dyDescent="0.45">
      <c r="D12933" s="47"/>
    </row>
    <row r="12934" spans="4:4" x14ac:dyDescent="0.45">
      <c r="D12934" s="47"/>
    </row>
    <row r="12935" spans="4:4" x14ac:dyDescent="0.45">
      <c r="D12935" s="47"/>
    </row>
    <row r="12936" spans="4:4" x14ac:dyDescent="0.45">
      <c r="D12936" s="47"/>
    </row>
    <row r="12937" spans="4:4" x14ac:dyDescent="0.45">
      <c r="D12937" s="47"/>
    </row>
    <row r="12938" spans="4:4" x14ac:dyDescent="0.45">
      <c r="D12938" s="47"/>
    </row>
    <row r="12939" spans="4:4" x14ac:dyDescent="0.45">
      <c r="D12939" s="47"/>
    </row>
    <row r="12940" spans="4:4" x14ac:dyDescent="0.45">
      <c r="D12940" s="47"/>
    </row>
    <row r="12941" spans="4:4" x14ac:dyDescent="0.45">
      <c r="D12941" s="47"/>
    </row>
    <row r="12942" spans="4:4" x14ac:dyDescent="0.45">
      <c r="D12942" s="47"/>
    </row>
    <row r="12943" spans="4:4" x14ac:dyDescent="0.45">
      <c r="D12943" s="47"/>
    </row>
    <row r="12944" spans="4:4" x14ac:dyDescent="0.45">
      <c r="D12944" s="47"/>
    </row>
    <row r="12945" spans="4:4" x14ac:dyDescent="0.45">
      <c r="D12945" s="47"/>
    </row>
    <row r="12946" spans="4:4" x14ac:dyDescent="0.45">
      <c r="D12946" s="47"/>
    </row>
    <row r="12947" spans="4:4" x14ac:dyDescent="0.45">
      <c r="D12947" s="47"/>
    </row>
    <row r="12948" spans="4:4" x14ac:dyDescent="0.45">
      <c r="D12948" s="47"/>
    </row>
    <row r="12949" spans="4:4" x14ac:dyDescent="0.45">
      <c r="D12949" s="47"/>
    </row>
    <row r="12950" spans="4:4" x14ac:dyDescent="0.45">
      <c r="D12950" s="47"/>
    </row>
    <row r="12951" spans="4:4" x14ac:dyDescent="0.45">
      <c r="D12951" s="47"/>
    </row>
    <row r="12952" spans="4:4" x14ac:dyDescent="0.45">
      <c r="D12952" s="47"/>
    </row>
    <row r="12953" spans="4:4" x14ac:dyDescent="0.45">
      <c r="D12953" s="47"/>
    </row>
    <row r="12954" spans="4:4" x14ac:dyDescent="0.45">
      <c r="D12954" s="47"/>
    </row>
    <row r="12955" spans="4:4" x14ac:dyDescent="0.45">
      <c r="D12955" s="47"/>
    </row>
    <row r="12956" spans="4:4" x14ac:dyDescent="0.45">
      <c r="D12956" s="47"/>
    </row>
    <row r="12957" spans="4:4" x14ac:dyDescent="0.45">
      <c r="D12957" s="47"/>
    </row>
    <row r="12958" spans="4:4" x14ac:dyDescent="0.45">
      <c r="D12958" s="47"/>
    </row>
    <row r="12959" spans="4:4" x14ac:dyDescent="0.45">
      <c r="D12959" s="47"/>
    </row>
    <row r="12960" spans="4:4" x14ac:dyDescent="0.45">
      <c r="D12960" s="47"/>
    </row>
    <row r="12961" spans="4:4" x14ac:dyDescent="0.45">
      <c r="D12961" s="47"/>
    </row>
    <row r="12962" spans="4:4" x14ac:dyDescent="0.45">
      <c r="D12962" s="47"/>
    </row>
    <row r="12963" spans="4:4" x14ac:dyDescent="0.45">
      <c r="D12963" s="47"/>
    </row>
    <row r="12964" spans="4:4" x14ac:dyDescent="0.45">
      <c r="D12964" s="47"/>
    </row>
    <row r="12965" spans="4:4" x14ac:dyDescent="0.45">
      <c r="D12965" s="47"/>
    </row>
    <row r="12966" spans="4:4" x14ac:dyDescent="0.45">
      <c r="D12966" s="47"/>
    </row>
    <row r="12967" spans="4:4" x14ac:dyDescent="0.45">
      <c r="D12967" s="47"/>
    </row>
    <row r="12968" spans="4:4" x14ac:dyDescent="0.45">
      <c r="D12968" s="47"/>
    </row>
    <row r="12969" spans="4:4" x14ac:dyDescent="0.45">
      <c r="D12969" s="47"/>
    </row>
    <row r="12970" spans="4:4" x14ac:dyDescent="0.45">
      <c r="D12970" s="47"/>
    </row>
    <row r="12971" spans="4:4" x14ac:dyDescent="0.45">
      <c r="D12971" s="47"/>
    </row>
    <row r="12972" spans="4:4" x14ac:dyDescent="0.45">
      <c r="D12972" s="47"/>
    </row>
    <row r="12973" spans="4:4" x14ac:dyDescent="0.45">
      <c r="D12973" s="47"/>
    </row>
    <row r="12974" spans="4:4" x14ac:dyDescent="0.45">
      <c r="D12974" s="47"/>
    </row>
    <row r="12975" spans="4:4" x14ac:dyDescent="0.45">
      <c r="D12975" s="47"/>
    </row>
    <row r="12976" spans="4:4" x14ac:dyDescent="0.45">
      <c r="D12976" s="47"/>
    </row>
    <row r="12977" spans="4:4" x14ac:dyDescent="0.45">
      <c r="D12977" s="47"/>
    </row>
    <row r="12978" spans="4:4" x14ac:dyDescent="0.45">
      <c r="D12978" s="47"/>
    </row>
    <row r="12979" spans="4:4" x14ac:dyDescent="0.45">
      <c r="D12979" s="47"/>
    </row>
    <row r="12980" spans="4:4" x14ac:dyDescent="0.45">
      <c r="D12980" s="47"/>
    </row>
    <row r="12981" spans="4:4" x14ac:dyDescent="0.45">
      <c r="D12981" s="47"/>
    </row>
    <row r="12982" spans="4:4" x14ac:dyDescent="0.45">
      <c r="D12982" s="47"/>
    </row>
    <row r="12983" spans="4:4" x14ac:dyDescent="0.45">
      <c r="D12983" s="47"/>
    </row>
    <row r="12984" spans="4:4" x14ac:dyDescent="0.45">
      <c r="D12984" s="47"/>
    </row>
    <row r="12985" spans="4:4" x14ac:dyDescent="0.45">
      <c r="D12985" s="47"/>
    </row>
    <row r="12986" spans="4:4" x14ac:dyDescent="0.45">
      <c r="D12986" s="47"/>
    </row>
    <row r="12987" spans="4:4" x14ac:dyDescent="0.45">
      <c r="D12987" s="47"/>
    </row>
    <row r="12988" spans="4:4" x14ac:dyDescent="0.45">
      <c r="D12988" s="47"/>
    </row>
    <row r="12989" spans="4:4" x14ac:dyDescent="0.45">
      <c r="D12989" s="47"/>
    </row>
    <row r="12990" spans="4:4" x14ac:dyDescent="0.45">
      <c r="D12990" s="47"/>
    </row>
    <row r="12991" spans="4:4" x14ac:dyDescent="0.45">
      <c r="D12991" s="47"/>
    </row>
    <row r="12992" spans="4:4" x14ac:dyDescent="0.45">
      <c r="D12992" s="47"/>
    </row>
    <row r="12993" spans="4:4" x14ac:dyDescent="0.45">
      <c r="D12993" s="47"/>
    </row>
    <row r="12994" spans="4:4" x14ac:dyDescent="0.45">
      <c r="D12994" s="47"/>
    </row>
    <row r="12995" spans="4:4" x14ac:dyDescent="0.45">
      <c r="D12995" s="47"/>
    </row>
    <row r="12996" spans="4:4" x14ac:dyDescent="0.45">
      <c r="D12996" s="47"/>
    </row>
    <row r="12997" spans="4:4" x14ac:dyDescent="0.45">
      <c r="D12997" s="47"/>
    </row>
    <row r="12998" spans="4:4" x14ac:dyDescent="0.45">
      <c r="D12998" s="47"/>
    </row>
    <row r="12999" spans="4:4" x14ac:dyDescent="0.45">
      <c r="D12999" s="47"/>
    </row>
    <row r="13000" spans="4:4" x14ac:dyDescent="0.45">
      <c r="D13000" s="47"/>
    </row>
    <row r="13001" spans="4:4" x14ac:dyDescent="0.45">
      <c r="D13001" s="47"/>
    </row>
    <row r="13002" spans="4:4" x14ac:dyDescent="0.45">
      <c r="D13002" s="47"/>
    </row>
    <row r="13003" spans="4:4" x14ac:dyDescent="0.45">
      <c r="D13003" s="47"/>
    </row>
    <row r="13004" spans="4:4" x14ac:dyDescent="0.45">
      <c r="D13004" s="47"/>
    </row>
    <row r="13005" spans="4:4" x14ac:dyDescent="0.45">
      <c r="D13005" s="47"/>
    </row>
    <row r="13006" spans="4:4" x14ac:dyDescent="0.45">
      <c r="D13006" s="47"/>
    </row>
    <row r="13007" spans="4:4" x14ac:dyDescent="0.45">
      <c r="D13007" s="47"/>
    </row>
    <row r="13008" spans="4:4" x14ac:dyDescent="0.45">
      <c r="D13008" s="47"/>
    </row>
    <row r="13009" spans="4:4" x14ac:dyDescent="0.45">
      <c r="D13009" s="47"/>
    </row>
    <row r="13010" spans="4:4" x14ac:dyDescent="0.45">
      <c r="D13010" s="47"/>
    </row>
    <row r="13011" spans="4:4" x14ac:dyDescent="0.45">
      <c r="D13011" s="47"/>
    </row>
    <row r="13012" spans="4:4" x14ac:dyDescent="0.45">
      <c r="D13012" s="47"/>
    </row>
    <row r="13013" spans="4:4" x14ac:dyDescent="0.45">
      <c r="D13013" s="47"/>
    </row>
    <row r="13014" spans="4:4" x14ac:dyDescent="0.45">
      <c r="D13014" s="47"/>
    </row>
    <row r="13015" spans="4:4" x14ac:dyDescent="0.45">
      <c r="D13015" s="47"/>
    </row>
    <row r="13016" spans="4:4" x14ac:dyDescent="0.45">
      <c r="D13016" s="47"/>
    </row>
    <row r="13017" spans="4:4" x14ac:dyDescent="0.45">
      <c r="D13017" s="47"/>
    </row>
    <row r="13018" spans="4:4" x14ac:dyDescent="0.45">
      <c r="D13018" s="47"/>
    </row>
    <row r="13019" spans="4:4" x14ac:dyDescent="0.45">
      <c r="D13019" s="47"/>
    </row>
    <row r="13020" spans="4:4" x14ac:dyDescent="0.45">
      <c r="D13020" s="47"/>
    </row>
    <row r="13021" spans="4:4" x14ac:dyDescent="0.45">
      <c r="D13021" s="47"/>
    </row>
    <row r="13022" spans="4:4" x14ac:dyDescent="0.45">
      <c r="D13022" s="47"/>
    </row>
    <row r="13023" spans="4:4" x14ac:dyDescent="0.45">
      <c r="D13023" s="47"/>
    </row>
    <row r="13024" spans="4:4" x14ac:dyDescent="0.45">
      <c r="D13024" s="47"/>
    </row>
    <row r="13025" spans="4:4" x14ac:dyDescent="0.45">
      <c r="D13025" s="47"/>
    </row>
    <row r="13026" spans="4:4" x14ac:dyDescent="0.45">
      <c r="D13026" s="47"/>
    </row>
    <row r="13027" spans="4:4" x14ac:dyDescent="0.45">
      <c r="D13027" s="47"/>
    </row>
    <row r="13028" spans="4:4" x14ac:dyDescent="0.45">
      <c r="D13028" s="47"/>
    </row>
    <row r="13029" spans="4:4" x14ac:dyDescent="0.45">
      <c r="D13029" s="47"/>
    </row>
    <row r="13030" spans="4:4" x14ac:dyDescent="0.45">
      <c r="D13030" s="47"/>
    </row>
    <row r="13031" spans="4:4" x14ac:dyDescent="0.45">
      <c r="D13031" s="47"/>
    </row>
    <row r="13032" spans="4:4" x14ac:dyDescent="0.45">
      <c r="D13032" s="47"/>
    </row>
    <row r="13033" spans="4:4" x14ac:dyDescent="0.45">
      <c r="D13033" s="47"/>
    </row>
    <row r="13034" spans="4:4" x14ac:dyDescent="0.45">
      <c r="D13034" s="47"/>
    </row>
    <row r="13035" spans="4:4" x14ac:dyDescent="0.45">
      <c r="D13035" s="47"/>
    </row>
    <row r="13036" spans="4:4" x14ac:dyDescent="0.45">
      <c r="D13036" s="47"/>
    </row>
    <row r="13037" spans="4:4" x14ac:dyDescent="0.45">
      <c r="D13037" s="47"/>
    </row>
    <row r="13038" spans="4:4" x14ac:dyDescent="0.45">
      <c r="D13038" s="47"/>
    </row>
    <row r="13039" spans="4:4" x14ac:dyDescent="0.45">
      <c r="D13039" s="47"/>
    </row>
    <row r="13040" spans="4:4" x14ac:dyDescent="0.45">
      <c r="D13040" s="47"/>
    </row>
    <row r="13041" spans="4:4" x14ac:dyDescent="0.45">
      <c r="D13041" s="47"/>
    </row>
    <row r="13042" spans="4:4" x14ac:dyDescent="0.45">
      <c r="D13042" s="47"/>
    </row>
    <row r="13043" spans="4:4" x14ac:dyDescent="0.45">
      <c r="D13043" s="47"/>
    </row>
    <row r="13044" spans="4:4" x14ac:dyDescent="0.45">
      <c r="D13044" s="47"/>
    </row>
    <row r="13045" spans="4:4" x14ac:dyDescent="0.45">
      <c r="D13045" s="47"/>
    </row>
    <row r="13046" spans="4:4" x14ac:dyDescent="0.45">
      <c r="D13046" s="47"/>
    </row>
    <row r="13047" spans="4:4" x14ac:dyDescent="0.45">
      <c r="D13047" s="47"/>
    </row>
    <row r="13048" spans="4:4" x14ac:dyDescent="0.45">
      <c r="D13048" s="47"/>
    </row>
    <row r="13049" spans="4:4" x14ac:dyDescent="0.45">
      <c r="D13049" s="47"/>
    </row>
    <row r="13050" spans="4:4" x14ac:dyDescent="0.45">
      <c r="D13050" s="47"/>
    </row>
    <row r="13051" spans="4:4" x14ac:dyDescent="0.45">
      <c r="D13051" s="47"/>
    </row>
    <row r="13052" spans="4:4" x14ac:dyDescent="0.45">
      <c r="D13052" s="47"/>
    </row>
    <row r="13053" spans="4:4" x14ac:dyDescent="0.45">
      <c r="D13053" s="47"/>
    </row>
    <row r="13054" spans="4:4" x14ac:dyDescent="0.45">
      <c r="D13054" s="47"/>
    </row>
    <row r="13055" spans="4:4" x14ac:dyDescent="0.45">
      <c r="D13055" s="47"/>
    </row>
    <row r="13056" spans="4:4" x14ac:dyDescent="0.45">
      <c r="D13056" s="47"/>
    </row>
    <row r="13057" spans="4:4" x14ac:dyDescent="0.45">
      <c r="D13057" s="47"/>
    </row>
    <row r="13058" spans="4:4" x14ac:dyDescent="0.45">
      <c r="D13058" s="47"/>
    </row>
    <row r="13059" spans="4:4" x14ac:dyDescent="0.45">
      <c r="D13059" s="47"/>
    </row>
    <row r="13060" spans="4:4" x14ac:dyDescent="0.45">
      <c r="D13060" s="47"/>
    </row>
    <row r="13061" spans="4:4" x14ac:dyDescent="0.45">
      <c r="D13061" s="47"/>
    </row>
    <row r="13062" spans="4:4" x14ac:dyDescent="0.45">
      <c r="D13062" s="47"/>
    </row>
    <row r="13063" spans="4:4" x14ac:dyDescent="0.45">
      <c r="D13063" s="47"/>
    </row>
    <row r="13064" spans="4:4" x14ac:dyDescent="0.45">
      <c r="D13064" s="47"/>
    </row>
    <row r="13065" spans="4:4" x14ac:dyDescent="0.45">
      <c r="D13065" s="47"/>
    </row>
    <row r="13066" spans="4:4" x14ac:dyDescent="0.45">
      <c r="D13066" s="47"/>
    </row>
    <row r="13067" spans="4:4" x14ac:dyDescent="0.45">
      <c r="D13067" s="47"/>
    </row>
    <row r="13068" spans="4:4" x14ac:dyDescent="0.45">
      <c r="D13068" s="47"/>
    </row>
    <row r="13069" spans="4:4" x14ac:dyDescent="0.45">
      <c r="D13069" s="47"/>
    </row>
    <row r="13070" spans="4:4" x14ac:dyDescent="0.45">
      <c r="D13070" s="47"/>
    </row>
    <row r="13071" spans="4:4" x14ac:dyDescent="0.45">
      <c r="D13071" s="47"/>
    </row>
    <row r="13072" spans="4:4" x14ac:dyDescent="0.45">
      <c r="D13072" s="47"/>
    </row>
    <row r="13073" spans="4:4" x14ac:dyDescent="0.45">
      <c r="D13073" s="47"/>
    </row>
    <row r="13074" spans="4:4" x14ac:dyDescent="0.45">
      <c r="D13074" s="47"/>
    </row>
    <row r="13075" spans="4:4" x14ac:dyDescent="0.45">
      <c r="D13075" s="47"/>
    </row>
    <row r="13076" spans="4:4" x14ac:dyDescent="0.45">
      <c r="D13076" s="47"/>
    </row>
    <row r="13077" spans="4:4" x14ac:dyDescent="0.45">
      <c r="D13077" s="47"/>
    </row>
    <row r="13078" spans="4:4" x14ac:dyDescent="0.45">
      <c r="D13078" s="47"/>
    </row>
    <row r="13079" spans="4:4" x14ac:dyDescent="0.45">
      <c r="D13079" s="47"/>
    </row>
    <row r="13080" spans="4:4" x14ac:dyDescent="0.45">
      <c r="D13080" s="47"/>
    </row>
    <row r="13081" spans="4:4" x14ac:dyDescent="0.45">
      <c r="D13081" s="47"/>
    </row>
    <row r="13082" spans="4:4" x14ac:dyDescent="0.45">
      <c r="D13082" s="47"/>
    </row>
    <row r="13083" spans="4:4" x14ac:dyDescent="0.45">
      <c r="D13083" s="47"/>
    </row>
    <row r="13084" spans="4:4" x14ac:dyDescent="0.45">
      <c r="D13084" s="47"/>
    </row>
    <row r="13085" spans="4:4" x14ac:dyDescent="0.45">
      <c r="D13085" s="47"/>
    </row>
    <row r="13086" spans="4:4" x14ac:dyDescent="0.45">
      <c r="D13086" s="47"/>
    </row>
    <row r="13087" spans="4:4" x14ac:dyDescent="0.45">
      <c r="D13087" s="47"/>
    </row>
    <row r="13088" spans="4:4" x14ac:dyDescent="0.45">
      <c r="D13088" s="47"/>
    </row>
    <row r="13089" spans="4:4" x14ac:dyDescent="0.45">
      <c r="D13089" s="47"/>
    </row>
    <row r="13090" spans="4:4" x14ac:dyDescent="0.45">
      <c r="D13090" s="47"/>
    </row>
    <row r="13091" spans="4:4" x14ac:dyDescent="0.45">
      <c r="D13091" s="47"/>
    </row>
    <row r="13092" spans="4:4" x14ac:dyDescent="0.45">
      <c r="D13092" s="47"/>
    </row>
    <row r="13093" spans="4:4" x14ac:dyDescent="0.45">
      <c r="D13093" s="47"/>
    </row>
    <row r="13094" spans="4:4" x14ac:dyDescent="0.45">
      <c r="D13094" s="47"/>
    </row>
    <row r="13095" spans="4:4" x14ac:dyDescent="0.45">
      <c r="D13095" s="47"/>
    </row>
    <row r="13096" spans="4:4" x14ac:dyDescent="0.45">
      <c r="D13096" s="47"/>
    </row>
    <row r="13097" spans="4:4" x14ac:dyDescent="0.45">
      <c r="D13097" s="47"/>
    </row>
    <row r="13098" spans="4:4" x14ac:dyDescent="0.45">
      <c r="D13098" s="47"/>
    </row>
    <row r="13099" spans="4:4" x14ac:dyDescent="0.45">
      <c r="D13099" s="47"/>
    </row>
    <row r="13100" spans="4:4" x14ac:dyDescent="0.45">
      <c r="D13100" s="47"/>
    </row>
    <row r="13101" spans="4:4" x14ac:dyDescent="0.45">
      <c r="D13101" s="47"/>
    </row>
    <row r="13102" spans="4:4" x14ac:dyDescent="0.45">
      <c r="D13102" s="47"/>
    </row>
    <row r="13103" spans="4:4" x14ac:dyDescent="0.45">
      <c r="D13103" s="47"/>
    </row>
    <row r="13104" spans="4:4" x14ac:dyDescent="0.45">
      <c r="D13104" s="47"/>
    </row>
    <row r="13105" spans="4:4" x14ac:dyDescent="0.45">
      <c r="D13105" s="47"/>
    </row>
    <row r="13106" spans="4:4" x14ac:dyDescent="0.45">
      <c r="D13106" s="47"/>
    </row>
    <row r="13107" spans="4:4" x14ac:dyDescent="0.45">
      <c r="D13107" s="47"/>
    </row>
    <row r="13108" spans="4:4" x14ac:dyDescent="0.45">
      <c r="D13108" s="47"/>
    </row>
    <row r="13109" spans="4:4" x14ac:dyDescent="0.45">
      <c r="D13109" s="47"/>
    </row>
    <row r="13110" spans="4:4" x14ac:dyDescent="0.45">
      <c r="D13110" s="47"/>
    </row>
    <row r="13111" spans="4:4" x14ac:dyDescent="0.45">
      <c r="D13111" s="47"/>
    </row>
    <row r="13112" spans="4:4" x14ac:dyDescent="0.45">
      <c r="D13112" s="47"/>
    </row>
    <row r="13113" spans="4:4" x14ac:dyDescent="0.45">
      <c r="D13113" s="47"/>
    </row>
    <row r="13114" spans="4:4" x14ac:dyDescent="0.45">
      <c r="D13114" s="47"/>
    </row>
    <row r="13115" spans="4:4" x14ac:dyDescent="0.45">
      <c r="D13115" s="47"/>
    </row>
    <row r="13116" spans="4:4" x14ac:dyDescent="0.45">
      <c r="D13116" s="47"/>
    </row>
    <row r="13117" spans="4:4" x14ac:dyDescent="0.45">
      <c r="D13117" s="47"/>
    </row>
    <row r="13118" spans="4:4" x14ac:dyDescent="0.45">
      <c r="D13118" s="47"/>
    </row>
    <row r="13119" spans="4:4" x14ac:dyDescent="0.45">
      <c r="D13119" s="47"/>
    </row>
    <row r="13120" spans="4:4" x14ac:dyDescent="0.45">
      <c r="D13120" s="47"/>
    </row>
    <row r="13121" spans="4:4" x14ac:dyDescent="0.45">
      <c r="D13121" s="47"/>
    </row>
    <row r="13122" spans="4:4" x14ac:dyDescent="0.45">
      <c r="D13122" s="47"/>
    </row>
    <row r="13123" spans="4:4" x14ac:dyDescent="0.45">
      <c r="D13123" s="47"/>
    </row>
    <row r="13124" spans="4:4" x14ac:dyDescent="0.45">
      <c r="D13124" s="47"/>
    </row>
    <row r="13125" spans="4:4" x14ac:dyDescent="0.45">
      <c r="D13125" s="47"/>
    </row>
    <row r="13126" spans="4:4" x14ac:dyDescent="0.45">
      <c r="D13126" s="47"/>
    </row>
    <row r="13127" spans="4:4" x14ac:dyDescent="0.45">
      <c r="D13127" s="47"/>
    </row>
    <row r="13128" spans="4:4" x14ac:dyDescent="0.45">
      <c r="D13128" s="47"/>
    </row>
    <row r="13129" spans="4:4" x14ac:dyDescent="0.45">
      <c r="D13129" s="47"/>
    </row>
    <row r="13130" spans="4:4" x14ac:dyDescent="0.45">
      <c r="D13130" s="47"/>
    </row>
    <row r="13131" spans="4:4" x14ac:dyDescent="0.45">
      <c r="D13131" s="47"/>
    </row>
    <row r="13132" spans="4:4" x14ac:dyDescent="0.45">
      <c r="D13132" s="47"/>
    </row>
    <row r="13133" spans="4:4" x14ac:dyDescent="0.45">
      <c r="D13133" s="47"/>
    </row>
    <row r="13134" spans="4:4" x14ac:dyDescent="0.45">
      <c r="D13134" s="47"/>
    </row>
    <row r="13135" spans="4:4" x14ac:dyDescent="0.45">
      <c r="D13135" s="47"/>
    </row>
    <row r="13136" spans="4:4" x14ac:dyDescent="0.45">
      <c r="D13136" s="47"/>
    </row>
    <row r="13137" spans="4:4" x14ac:dyDescent="0.45">
      <c r="D13137" s="47"/>
    </row>
    <row r="13138" spans="4:4" x14ac:dyDescent="0.45">
      <c r="D13138" s="47"/>
    </row>
    <row r="13139" spans="4:4" x14ac:dyDescent="0.45">
      <c r="D13139" s="47"/>
    </row>
    <row r="13140" spans="4:4" x14ac:dyDescent="0.45">
      <c r="D13140" s="47"/>
    </row>
    <row r="13141" spans="4:4" x14ac:dyDescent="0.45">
      <c r="D13141" s="47"/>
    </row>
    <row r="13142" spans="4:4" x14ac:dyDescent="0.45">
      <c r="D13142" s="47"/>
    </row>
    <row r="13143" spans="4:4" x14ac:dyDescent="0.45">
      <c r="D13143" s="47"/>
    </row>
    <row r="13144" spans="4:4" x14ac:dyDescent="0.45">
      <c r="D13144" s="47"/>
    </row>
    <row r="13145" spans="4:4" x14ac:dyDescent="0.45">
      <c r="D13145" s="47"/>
    </row>
    <row r="13146" spans="4:4" x14ac:dyDescent="0.45">
      <c r="D13146" s="47"/>
    </row>
    <row r="13147" spans="4:4" x14ac:dyDescent="0.45">
      <c r="D13147" s="47"/>
    </row>
    <row r="13148" spans="4:4" x14ac:dyDescent="0.45">
      <c r="D13148" s="47"/>
    </row>
    <row r="13149" spans="4:4" x14ac:dyDescent="0.45">
      <c r="D13149" s="47"/>
    </row>
    <row r="13150" spans="4:4" x14ac:dyDescent="0.45">
      <c r="D13150" s="47"/>
    </row>
    <row r="13151" spans="4:4" x14ac:dyDescent="0.45">
      <c r="D13151" s="47"/>
    </row>
    <row r="13152" spans="4:4" x14ac:dyDescent="0.45">
      <c r="D13152" s="47"/>
    </row>
    <row r="13153" spans="4:4" x14ac:dyDescent="0.45">
      <c r="D13153" s="47"/>
    </row>
    <row r="13154" spans="4:4" x14ac:dyDescent="0.45">
      <c r="D13154" s="47"/>
    </row>
    <row r="13155" spans="4:4" x14ac:dyDescent="0.45">
      <c r="D13155" s="47"/>
    </row>
    <row r="13156" spans="4:4" x14ac:dyDescent="0.45">
      <c r="D13156" s="47"/>
    </row>
    <row r="13157" spans="4:4" x14ac:dyDescent="0.45">
      <c r="D13157" s="47"/>
    </row>
    <row r="13158" spans="4:4" x14ac:dyDescent="0.45">
      <c r="D13158" s="47"/>
    </row>
    <row r="13159" spans="4:4" x14ac:dyDescent="0.45">
      <c r="D13159" s="47"/>
    </row>
    <row r="13160" spans="4:4" x14ac:dyDescent="0.45">
      <c r="D13160" s="47"/>
    </row>
    <row r="13161" spans="4:4" x14ac:dyDescent="0.45">
      <c r="D13161" s="47"/>
    </row>
    <row r="13162" spans="4:4" x14ac:dyDescent="0.45">
      <c r="D13162" s="47"/>
    </row>
    <row r="13163" spans="4:4" x14ac:dyDescent="0.45">
      <c r="D13163" s="47"/>
    </row>
    <row r="13164" spans="4:4" x14ac:dyDescent="0.45">
      <c r="D13164" s="47"/>
    </row>
    <row r="13165" spans="4:4" x14ac:dyDescent="0.45">
      <c r="D13165" s="47"/>
    </row>
    <row r="13166" spans="4:4" x14ac:dyDescent="0.45">
      <c r="D13166" s="47"/>
    </row>
    <row r="13167" spans="4:4" x14ac:dyDescent="0.45">
      <c r="D13167" s="47"/>
    </row>
    <row r="13168" spans="4:4" x14ac:dyDescent="0.45">
      <c r="D13168" s="47"/>
    </row>
    <row r="13169" spans="4:4" x14ac:dyDescent="0.45">
      <c r="D13169" s="47"/>
    </row>
    <row r="13170" spans="4:4" x14ac:dyDescent="0.45">
      <c r="D13170" s="47"/>
    </row>
    <row r="13171" spans="4:4" x14ac:dyDescent="0.45">
      <c r="D13171" s="47"/>
    </row>
    <row r="13172" spans="4:4" x14ac:dyDescent="0.45">
      <c r="D13172" s="47"/>
    </row>
    <row r="13173" spans="4:4" x14ac:dyDescent="0.45">
      <c r="D13173" s="47"/>
    </row>
    <row r="13174" spans="4:4" x14ac:dyDescent="0.45">
      <c r="D13174" s="47"/>
    </row>
    <row r="13175" spans="4:4" x14ac:dyDescent="0.45">
      <c r="D13175" s="47"/>
    </row>
    <row r="13176" spans="4:4" x14ac:dyDescent="0.45">
      <c r="D13176" s="47"/>
    </row>
    <row r="13177" spans="4:4" x14ac:dyDescent="0.45">
      <c r="D13177" s="47"/>
    </row>
    <row r="13178" spans="4:4" x14ac:dyDescent="0.45">
      <c r="D13178" s="47"/>
    </row>
    <row r="13179" spans="4:4" x14ac:dyDescent="0.45">
      <c r="D13179" s="47"/>
    </row>
    <row r="13180" spans="4:4" x14ac:dyDescent="0.45">
      <c r="D13180" s="47"/>
    </row>
    <row r="13181" spans="4:4" x14ac:dyDescent="0.45">
      <c r="D13181" s="47"/>
    </row>
    <row r="13182" spans="4:4" x14ac:dyDescent="0.45">
      <c r="D13182" s="47"/>
    </row>
    <row r="13183" spans="4:4" x14ac:dyDescent="0.45">
      <c r="D13183" s="47"/>
    </row>
    <row r="13184" spans="4:4" x14ac:dyDescent="0.45">
      <c r="D13184" s="47"/>
    </row>
    <row r="13185" spans="4:4" x14ac:dyDescent="0.45">
      <c r="D13185" s="47"/>
    </row>
    <row r="13186" spans="4:4" x14ac:dyDescent="0.45">
      <c r="D13186" s="47"/>
    </row>
    <row r="13187" spans="4:4" x14ac:dyDescent="0.45">
      <c r="D13187" s="47"/>
    </row>
    <row r="13188" spans="4:4" x14ac:dyDescent="0.45">
      <c r="D13188" s="47"/>
    </row>
    <row r="13189" spans="4:4" x14ac:dyDescent="0.45">
      <c r="D13189" s="47"/>
    </row>
    <row r="13190" spans="4:4" x14ac:dyDescent="0.45">
      <c r="D13190" s="47"/>
    </row>
    <row r="13191" spans="4:4" x14ac:dyDescent="0.45">
      <c r="D13191" s="47"/>
    </row>
    <row r="13192" spans="4:4" x14ac:dyDescent="0.45">
      <c r="D13192" s="47"/>
    </row>
    <row r="13193" spans="4:4" x14ac:dyDescent="0.45">
      <c r="D13193" s="47"/>
    </row>
    <row r="13194" spans="4:4" x14ac:dyDescent="0.45">
      <c r="D13194" s="47"/>
    </row>
    <row r="13195" spans="4:4" x14ac:dyDescent="0.45">
      <c r="D13195" s="47"/>
    </row>
    <row r="13196" spans="4:4" x14ac:dyDescent="0.45">
      <c r="D13196" s="47"/>
    </row>
    <row r="13197" spans="4:4" x14ac:dyDescent="0.45">
      <c r="D13197" s="47"/>
    </row>
    <row r="13198" spans="4:4" x14ac:dyDescent="0.45">
      <c r="D13198" s="47"/>
    </row>
    <row r="13199" spans="4:4" x14ac:dyDescent="0.45">
      <c r="D13199" s="47"/>
    </row>
    <row r="13200" spans="4:4" x14ac:dyDescent="0.45">
      <c r="D13200" s="47"/>
    </row>
    <row r="13201" spans="4:4" x14ac:dyDescent="0.45">
      <c r="D13201" s="47"/>
    </row>
    <row r="13202" spans="4:4" x14ac:dyDescent="0.45">
      <c r="D13202" s="47"/>
    </row>
    <row r="13203" spans="4:4" x14ac:dyDescent="0.45">
      <c r="D13203" s="47"/>
    </row>
    <row r="13204" spans="4:4" x14ac:dyDescent="0.45">
      <c r="D13204" s="47"/>
    </row>
    <row r="13205" spans="4:4" x14ac:dyDescent="0.45">
      <c r="D13205" s="47"/>
    </row>
    <row r="13206" spans="4:4" x14ac:dyDescent="0.45">
      <c r="D13206" s="47"/>
    </row>
    <row r="13207" spans="4:4" x14ac:dyDescent="0.45">
      <c r="D13207" s="47"/>
    </row>
    <row r="13208" spans="4:4" x14ac:dyDescent="0.45">
      <c r="D13208" s="47"/>
    </row>
    <row r="13209" spans="4:4" x14ac:dyDescent="0.45">
      <c r="D13209" s="47"/>
    </row>
    <row r="13210" spans="4:4" x14ac:dyDescent="0.45">
      <c r="D13210" s="47"/>
    </row>
    <row r="13211" spans="4:4" x14ac:dyDescent="0.45">
      <c r="D13211" s="47"/>
    </row>
    <row r="13212" spans="4:4" x14ac:dyDescent="0.45">
      <c r="D13212" s="47"/>
    </row>
    <row r="13213" spans="4:4" x14ac:dyDescent="0.45">
      <c r="D13213" s="47"/>
    </row>
    <row r="13214" spans="4:4" x14ac:dyDescent="0.45">
      <c r="D13214" s="47"/>
    </row>
    <row r="13215" spans="4:4" x14ac:dyDescent="0.45">
      <c r="D13215" s="47"/>
    </row>
    <row r="13216" spans="4:4" x14ac:dyDescent="0.45">
      <c r="D13216" s="47"/>
    </row>
    <row r="13217" spans="4:4" x14ac:dyDescent="0.45">
      <c r="D13217" s="47"/>
    </row>
    <row r="13218" spans="4:4" x14ac:dyDescent="0.45">
      <c r="D13218" s="47"/>
    </row>
    <row r="13219" spans="4:4" x14ac:dyDescent="0.45">
      <c r="D13219" s="47"/>
    </row>
    <row r="13220" spans="4:4" x14ac:dyDescent="0.45">
      <c r="D13220" s="47"/>
    </row>
    <row r="13221" spans="4:4" x14ac:dyDescent="0.45">
      <c r="D13221" s="47"/>
    </row>
    <row r="13222" spans="4:4" x14ac:dyDescent="0.45">
      <c r="D13222" s="47"/>
    </row>
    <row r="13223" spans="4:4" x14ac:dyDescent="0.45">
      <c r="D13223" s="47"/>
    </row>
    <row r="13224" spans="4:4" x14ac:dyDescent="0.45">
      <c r="D13224" s="47"/>
    </row>
    <row r="13225" spans="4:4" x14ac:dyDescent="0.45">
      <c r="D13225" s="47"/>
    </row>
    <row r="13226" spans="4:4" x14ac:dyDescent="0.45">
      <c r="D13226" s="47"/>
    </row>
    <row r="13227" spans="4:4" x14ac:dyDescent="0.45">
      <c r="D13227" s="47"/>
    </row>
    <row r="13228" spans="4:4" x14ac:dyDescent="0.45">
      <c r="D13228" s="47"/>
    </row>
    <row r="13229" spans="4:4" x14ac:dyDescent="0.45">
      <c r="D13229" s="47"/>
    </row>
    <row r="13230" spans="4:4" x14ac:dyDescent="0.45">
      <c r="D13230" s="47"/>
    </row>
    <row r="13231" spans="4:4" x14ac:dyDescent="0.45">
      <c r="D13231" s="47"/>
    </row>
    <row r="13232" spans="4:4" x14ac:dyDescent="0.45">
      <c r="D13232" s="47"/>
    </row>
    <row r="13233" spans="4:4" x14ac:dyDescent="0.45">
      <c r="D13233" s="47"/>
    </row>
    <row r="13234" spans="4:4" x14ac:dyDescent="0.45">
      <c r="D13234" s="47"/>
    </row>
    <row r="13235" spans="4:4" x14ac:dyDescent="0.45">
      <c r="D13235" s="47"/>
    </row>
    <row r="13236" spans="4:4" x14ac:dyDescent="0.45">
      <c r="D13236" s="47"/>
    </row>
    <row r="13237" spans="4:4" x14ac:dyDescent="0.45">
      <c r="D13237" s="47"/>
    </row>
    <row r="13238" spans="4:4" x14ac:dyDescent="0.45">
      <c r="D13238" s="47"/>
    </row>
    <row r="13239" spans="4:4" x14ac:dyDescent="0.45">
      <c r="D13239" s="47"/>
    </row>
    <row r="13240" spans="4:4" x14ac:dyDescent="0.45">
      <c r="D13240" s="47"/>
    </row>
    <row r="13241" spans="4:4" x14ac:dyDescent="0.45">
      <c r="D13241" s="47"/>
    </row>
    <row r="13242" spans="4:4" x14ac:dyDescent="0.45">
      <c r="D13242" s="47"/>
    </row>
    <row r="13243" spans="4:4" x14ac:dyDescent="0.45">
      <c r="D13243" s="47"/>
    </row>
    <row r="13244" spans="4:4" x14ac:dyDescent="0.45">
      <c r="D13244" s="47"/>
    </row>
    <row r="13245" spans="4:4" x14ac:dyDescent="0.45">
      <c r="D13245" s="47"/>
    </row>
    <row r="13246" spans="4:4" x14ac:dyDescent="0.45">
      <c r="D13246" s="47"/>
    </row>
    <row r="13247" spans="4:4" x14ac:dyDescent="0.45">
      <c r="D13247" s="47"/>
    </row>
    <row r="13248" spans="4:4" x14ac:dyDescent="0.45">
      <c r="D13248" s="47"/>
    </row>
    <row r="13249" spans="4:4" x14ac:dyDescent="0.45">
      <c r="D13249" s="47"/>
    </row>
    <row r="13250" spans="4:4" x14ac:dyDescent="0.45">
      <c r="D13250" s="47"/>
    </row>
    <row r="13251" spans="4:4" x14ac:dyDescent="0.45">
      <c r="D13251" s="47"/>
    </row>
    <row r="13252" spans="4:4" x14ac:dyDescent="0.45">
      <c r="D13252" s="47"/>
    </row>
    <row r="13253" spans="4:4" x14ac:dyDescent="0.45">
      <c r="D13253" s="47"/>
    </row>
    <row r="13254" spans="4:4" x14ac:dyDescent="0.45">
      <c r="D13254" s="47"/>
    </row>
    <row r="13255" spans="4:4" x14ac:dyDescent="0.45">
      <c r="D13255" s="47"/>
    </row>
    <row r="13256" spans="4:4" x14ac:dyDescent="0.45">
      <c r="D13256" s="47"/>
    </row>
    <row r="13257" spans="4:4" x14ac:dyDescent="0.45">
      <c r="D13257" s="47"/>
    </row>
    <row r="13258" spans="4:4" x14ac:dyDescent="0.45">
      <c r="D13258" s="47"/>
    </row>
    <row r="13259" spans="4:4" x14ac:dyDescent="0.45">
      <c r="D13259" s="47"/>
    </row>
    <row r="13260" spans="4:4" x14ac:dyDescent="0.45">
      <c r="D13260" s="47"/>
    </row>
    <row r="13261" spans="4:4" x14ac:dyDescent="0.45">
      <c r="D13261" s="47"/>
    </row>
    <row r="13262" spans="4:4" x14ac:dyDescent="0.45">
      <c r="D13262" s="47"/>
    </row>
    <row r="13263" spans="4:4" x14ac:dyDescent="0.45">
      <c r="D13263" s="47"/>
    </row>
    <row r="13264" spans="4:4" x14ac:dyDescent="0.45">
      <c r="D13264" s="47"/>
    </row>
    <row r="13265" spans="4:4" x14ac:dyDescent="0.45">
      <c r="D13265" s="47"/>
    </row>
    <row r="13266" spans="4:4" x14ac:dyDescent="0.45">
      <c r="D13266" s="47"/>
    </row>
    <row r="13267" spans="4:4" x14ac:dyDescent="0.45">
      <c r="D13267" s="47"/>
    </row>
    <row r="13268" spans="4:4" x14ac:dyDescent="0.45">
      <c r="D13268" s="47"/>
    </row>
    <row r="13269" spans="4:4" x14ac:dyDescent="0.45">
      <c r="D13269" s="47"/>
    </row>
    <row r="13270" spans="4:4" x14ac:dyDescent="0.45">
      <c r="D13270" s="47"/>
    </row>
    <row r="13271" spans="4:4" x14ac:dyDescent="0.45">
      <c r="D13271" s="47"/>
    </row>
    <row r="13272" spans="4:4" x14ac:dyDescent="0.45">
      <c r="D13272" s="47"/>
    </row>
    <row r="13273" spans="4:4" x14ac:dyDescent="0.45">
      <c r="D13273" s="47"/>
    </row>
    <row r="13274" spans="4:4" x14ac:dyDescent="0.45">
      <c r="D13274" s="47"/>
    </row>
    <row r="13275" spans="4:4" x14ac:dyDescent="0.45">
      <c r="D13275" s="47"/>
    </row>
    <row r="13276" spans="4:4" x14ac:dyDescent="0.45">
      <c r="D13276" s="47"/>
    </row>
    <row r="13277" spans="4:4" x14ac:dyDescent="0.45">
      <c r="D13277" s="47"/>
    </row>
    <row r="13278" spans="4:4" x14ac:dyDescent="0.45">
      <c r="D13278" s="47"/>
    </row>
    <row r="13279" spans="4:4" x14ac:dyDescent="0.45">
      <c r="D13279" s="47"/>
    </row>
    <row r="13280" spans="4:4" x14ac:dyDescent="0.45">
      <c r="D13280" s="47"/>
    </row>
    <row r="13281" spans="4:4" x14ac:dyDescent="0.45">
      <c r="D13281" s="47"/>
    </row>
    <row r="13282" spans="4:4" x14ac:dyDescent="0.45">
      <c r="D13282" s="47"/>
    </row>
    <row r="13283" spans="4:4" x14ac:dyDescent="0.45">
      <c r="D13283" s="47"/>
    </row>
    <row r="13284" spans="4:4" x14ac:dyDescent="0.45">
      <c r="D13284" s="47"/>
    </row>
    <row r="13285" spans="4:4" x14ac:dyDescent="0.45">
      <c r="D13285" s="47"/>
    </row>
    <row r="13286" spans="4:4" x14ac:dyDescent="0.45">
      <c r="D13286" s="47"/>
    </row>
    <row r="13287" spans="4:4" x14ac:dyDescent="0.45">
      <c r="D13287" s="47"/>
    </row>
    <row r="13288" spans="4:4" x14ac:dyDescent="0.45">
      <c r="D13288" s="47"/>
    </row>
    <row r="13289" spans="4:4" x14ac:dyDescent="0.45">
      <c r="D13289" s="47"/>
    </row>
    <row r="13290" spans="4:4" x14ac:dyDescent="0.45">
      <c r="D13290" s="47"/>
    </row>
    <row r="13291" spans="4:4" x14ac:dyDescent="0.45">
      <c r="D13291" s="47"/>
    </row>
    <row r="13292" spans="4:4" x14ac:dyDescent="0.45">
      <c r="D13292" s="47"/>
    </row>
    <row r="13293" spans="4:4" x14ac:dyDescent="0.45">
      <c r="D13293" s="47"/>
    </row>
    <row r="13294" spans="4:4" x14ac:dyDescent="0.45">
      <c r="D13294" s="47"/>
    </row>
    <row r="13295" spans="4:4" x14ac:dyDescent="0.45">
      <c r="D13295" s="47"/>
    </row>
    <row r="13296" spans="4:4" x14ac:dyDescent="0.45">
      <c r="D13296" s="47"/>
    </row>
    <row r="13297" spans="4:4" x14ac:dyDescent="0.45">
      <c r="D13297" s="47"/>
    </row>
    <row r="13298" spans="4:4" x14ac:dyDescent="0.45">
      <c r="D13298" s="47"/>
    </row>
    <row r="13299" spans="4:4" x14ac:dyDescent="0.45">
      <c r="D13299" s="47"/>
    </row>
    <row r="13300" spans="4:4" x14ac:dyDescent="0.45">
      <c r="D13300" s="47"/>
    </row>
    <row r="13301" spans="4:4" x14ac:dyDescent="0.45">
      <c r="D13301" s="47"/>
    </row>
    <row r="13302" spans="4:4" x14ac:dyDescent="0.45">
      <c r="D13302" s="47"/>
    </row>
    <row r="13303" spans="4:4" x14ac:dyDescent="0.45">
      <c r="D13303" s="47"/>
    </row>
    <row r="13304" spans="4:4" x14ac:dyDescent="0.45">
      <c r="D13304" s="47"/>
    </row>
    <row r="13305" spans="4:4" x14ac:dyDescent="0.45">
      <c r="D13305" s="47"/>
    </row>
    <row r="13306" spans="4:4" x14ac:dyDescent="0.45">
      <c r="D13306" s="47"/>
    </row>
    <row r="13307" spans="4:4" x14ac:dyDescent="0.45">
      <c r="D13307" s="47"/>
    </row>
    <row r="13308" spans="4:4" x14ac:dyDescent="0.45">
      <c r="D13308" s="47"/>
    </row>
    <row r="13309" spans="4:4" x14ac:dyDescent="0.45">
      <c r="D13309" s="47"/>
    </row>
    <row r="13310" spans="4:4" x14ac:dyDescent="0.45">
      <c r="D13310" s="47"/>
    </row>
    <row r="13311" spans="4:4" x14ac:dyDescent="0.45">
      <c r="D13311" s="47"/>
    </row>
    <row r="13312" spans="4:4" x14ac:dyDescent="0.45">
      <c r="D13312" s="47"/>
    </row>
    <row r="13313" spans="4:4" x14ac:dyDescent="0.45">
      <c r="D13313" s="47"/>
    </row>
    <row r="13314" spans="4:4" x14ac:dyDescent="0.45">
      <c r="D13314" s="47"/>
    </row>
    <row r="13315" spans="4:4" x14ac:dyDescent="0.45">
      <c r="D13315" s="47"/>
    </row>
    <row r="13316" spans="4:4" x14ac:dyDescent="0.45">
      <c r="D13316" s="47"/>
    </row>
    <row r="13317" spans="4:4" x14ac:dyDescent="0.45">
      <c r="D13317" s="47"/>
    </row>
    <row r="13318" spans="4:4" x14ac:dyDescent="0.45">
      <c r="D13318" s="47"/>
    </row>
    <row r="13319" spans="4:4" x14ac:dyDescent="0.45">
      <c r="D13319" s="47"/>
    </row>
    <row r="13320" spans="4:4" x14ac:dyDescent="0.45">
      <c r="D13320" s="47"/>
    </row>
    <row r="13321" spans="4:4" x14ac:dyDescent="0.45">
      <c r="D13321" s="47"/>
    </row>
    <row r="13322" spans="4:4" x14ac:dyDescent="0.45">
      <c r="D13322" s="47"/>
    </row>
    <row r="13323" spans="4:4" x14ac:dyDescent="0.45">
      <c r="D13323" s="47"/>
    </row>
    <row r="13324" spans="4:4" x14ac:dyDescent="0.45">
      <c r="D13324" s="47"/>
    </row>
    <row r="13325" spans="4:4" x14ac:dyDescent="0.45">
      <c r="D13325" s="47"/>
    </row>
    <row r="13326" spans="4:4" x14ac:dyDescent="0.45">
      <c r="D13326" s="47"/>
    </row>
    <row r="13327" spans="4:4" x14ac:dyDescent="0.45">
      <c r="D13327" s="47"/>
    </row>
    <row r="13328" spans="4:4" x14ac:dyDescent="0.45">
      <c r="D13328" s="47"/>
    </row>
    <row r="13329" spans="4:4" x14ac:dyDescent="0.45">
      <c r="D13329" s="47"/>
    </row>
    <row r="13330" spans="4:4" x14ac:dyDescent="0.45">
      <c r="D13330" s="47"/>
    </row>
    <row r="13331" spans="4:4" x14ac:dyDescent="0.45">
      <c r="D13331" s="47"/>
    </row>
    <row r="13332" spans="4:4" x14ac:dyDescent="0.45">
      <c r="D13332" s="47"/>
    </row>
    <row r="13333" spans="4:4" x14ac:dyDescent="0.45">
      <c r="D13333" s="47"/>
    </row>
    <row r="13334" spans="4:4" x14ac:dyDescent="0.45">
      <c r="D13334" s="47"/>
    </row>
    <row r="13335" spans="4:4" x14ac:dyDescent="0.45">
      <c r="D13335" s="47"/>
    </row>
    <row r="13336" spans="4:4" x14ac:dyDescent="0.45">
      <c r="D13336" s="47"/>
    </row>
    <row r="13337" spans="4:4" x14ac:dyDescent="0.45">
      <c r="D13337" s="47"/>
    </row>
    <row r="13338" spans="4:4" x14ac:dyDescent="0.45">
      <c r="D13338" s="47"/>
    </row>
    <row r="13339" spans="4:4" x14ac:dyDescent="0.45">
      <c r="D13339" s="47"/>
    </row>
    <row r="13340" spans="4:4" x14ac:dyDescent="0.45">
      <c r="D13340" s="47"/>
    </row>
    <row r="13341" spans="4:4" x14ac:dyDescent="0.45">
      <c r="D13341" s="47"/>
    </row>
    <row r="13342" spans="4:4" x14ac:dyDescent="0.45">
      <c r="D13342" s="47"/>
    </row>
    <row r="13343" spans="4:4" x14ac:dyDescent="0.45">
      <c r="D13343" s="47"/>
    </row>
    <row r="13344" spans="4:4" x14ac:dyDescent="0.45">
      <c r="D13344" s="47"/>
    </row>
    <row r="13345" spans="4:4" x14ac:dyDescent="0.45">
      <c r="D13345" s="47"/>
    </row>
    <row r="13346" spans="4:4" x14ac:dyDescent="0.45">
      <c r="D13346" s="47"/>
    </row>
    <row r="13347" spans="4:4" x14ac:dyDescent="0.45">
      <c r="D13347" s="47"/>
    </row>
    <row r="13348" spans="4:4" x14ac:dyDescent="0.45">
      <c r="D13348" s="47"/>
    </row>
    <row r="13349" spans="4:4" x14ac:dyDescent="0.45">
      <c r="D13349" s="47"/>
    </row>
    <row r="13350" spans="4:4" x14ac:dyDescent="0.45">
      <c r="D13350" s="47"/>
    </row>
    <row r="13351" spans="4:4" x14ac:dyDescent="0.45">
      <c r="D13351" s="47"/>
    </row>
    <row r="13352" spans="4:4" x14ac:dyDescent="0.45">
      <c r="D13352" s="47"/>
    </row>
    <row r="13353" spans="4:4" x14ac:dyDescent="0.45">
      <c r="D13353" s="47"/>
    </row>
    <row r="13354" spans="4:4" x14ac:dyDescent="0.45">
      <c r="D13354" s="47"/>
    </row>
    <row r="13355" spans="4:4" x14ac:dyDescent="0.45">
      <c r="D13355" s="47"/>
    </row>
    <row r="13356" spans="4:4" x14ac:dyDescent="0.45">
      <c r="D13356" s="47"/>
    </row>
    <row r="13357" spans="4:4" x14ac:dyDescent="0.45">
      <c r="D13357" s="47"/>
    </row>
    <row r="13358" spans="4:4" x14ac:dyDescent="0.45">
      <c r="D13358" s="47"/>
    </row>
    <row r="13359" spans="4:4" x14ac:dyDescent="0.45">
      <c r="D13359" s="47"/>
    </row>
    <row r="13360" spans="4:4" x14ac:dyDescent="0.45">
      <c r="D13360" s="47"/>
    </row>
    <row r="13361" spans="4:4" x14ac:dyDescent="0.45">
      <c r="D13361" s="47"/>
    </row>
    <row r="13362" spans="4:4" x14ac:dyDescent="0.45">
      <c r="D13362" s="47"/>
    </row>
    <row r="13363" spans="4:4" x14ac:dyDescent="0.45">
      <c r="D13363" s="47"/>
    </row>
    <row r="13364" spans="4:4" x14ac:dyDescent="0.45">
      <c r="D13364" s="47"/>
    </row>
    <row r="13365" spans="4:4" x14ac:dyDescent="0.45">
      <c r="D13365" s="47"/>
    </row>
    <row r="13366" spans="4:4" x14ac:dyDescent="0.45">
      <c r="D13366" s="47"/>
    </row>
    <row r="13367" spans="4:4" x14ac:dyDescent="0.45">
      <c r="D13367" s="47"/>
    </row>
    <row r="13368" spans="4:4" x14ac:dyDescent="0.45">
      <c r="D13368" s="47"/>
    </row>
    <row r="13369" spans="4:4" x14ac:dyDescent="0.45">
      <c r="D13369" s="47"/>
    </row>
    <row r="13370" spans="4:4" x14ac:dyDescent="0.45">
      <c r="D13370" s="47"/>
    </row>
    <row r="13371" spans="4:4" x14ac:dyDescent="0.45">
      <c r="D13371" s="47"/>
    </row>
    <row r="13372" spans="4:4" x14ac:dyDescent="0.45">
      <c r="D13372" s="47"/>
    </row>
    <row r="13373" spans="4:4" x14ac:dyDescent="0.45">
      <c r="D13373" s="47"/>
    </row>
    <row r="13374" spans="4:4" x14ac:dyDescent="0.45">
      <c r="D13374" s="47"/>
    </row>
    <row r="13375" spans="4:4" x14ac:dyDescent="0.45">
      <c r="D13375" s="47"/>
    </row>
    <row r="13376" spans="4:4" x14ac:dyDescent="0.45">
      <c r="D13376" s="47"/>
    </row>
    <row r="13377" spans="4:4" x14ac:dyDescent="0.45">
      <c r="D13377" s="47"/>
    </row>
    <row r="13378" spans="4:4" x14ac:dyDescent="0.45">
      <c r="D13378" s="47"/>
    </row>
    <row r="13379" spans="4:4" x14ac:dyDescent="0.45">
      <c r="D13379" s="47"/>
    </row>
    <row r="13380" spans="4:4" x14ac:dyDescent="0.45">
      <c r="D13380" s="47"/>
    </row>
    <row r="13381" spans="4:4" x14ac:dyDescent="0.45">
      <c r="D13381" s="47"/>
    </row>
    <row r="13382" spans="4:4" x14ac:dyDescent="0.45">
      <c r="D13382" s="47"/>
    </row>
    <row r="13383" spans="4:4" x14ac:dyDescent="0.45">
      <c r="D13383" s="47"/>
    </row>
    <row r="13384" spans="4:4" x14ac:dyDescent="0.45">
      <c r="D13384" s="47"/>
    </row>
    <row r="13385" spans="4:4" x14ac:dyDescent="0.45">
      <c r="D13385" s="47"/>
    </row>
    <row r="13386" spans="4:4" x14ac:dyDescent="0.45">
      <c r="D13386" s="47"/>
    </row>
    <row r="13387" spans="4:4" x14ac:dyDescent="0.45">
      <c r="D13387" s="47"/>
    </row>
    <row r="13388" spans="4:4" x14ac:dyDescent="0.45">
      <c r="D13388" s="47"/>
    </row>
    <row r="13389" spans="4:4" x14ac:dyDescent="0.45">
      <c r="D13389" s="47"/>
    </row>
    <row r="13390" spans="4:4" x14ac:dyDescent="0.45">
      <c r="D13390" s="47"/>
    </row>
    <row r="13391" spans="4:4" x14ac:dyDescent="0.45">
      <c r="D13391" s="47"/>
    </row>
    <row r="13392" spans="4:4" x14ac:dyDescent="0.45">
      <c r="D13392" s="47"/>
    </row>
    <row r="13393" spans="4:4" x14ac:dyDescent="0.45">
      <c r="D13393" s="47"/>
    </row>
    <row r="13394" spans="4:4" x14ac:dyDescent="0.45">
      <c r="D13394" s="47"/>
    </row>
    <row r="13395" spans="4:4" x14ac:dyDescent="0.45">
      <c r="D13395" s="47"/>
    </row>
    <row r="13396" spans="4:4" x14ac:dyDescent="0.45">
      <c r="D13396" s="47"/>
    </row>
    <row r="13397" spans="4:4" x14ac:dyDescent="0.45">
      <c r="D13397" s="47"/>
    </row>
    <row r="13398" spans="4:4" x14ac:dyDescent="0.45">
      <c r="D13398" s="47"/>
    </row>
    <row r="13399" spans="4:4" x14ac:dyDescent="0.45">
      <c r="D13399" s="47"/>
    </row>
    <row r="13400" spans="4:4" x14ac:dyDescent="0.45">
      <c r="D13400" s="47"/>
    </row>
    <row r="13401" spans="4:4" x14ac:dyDescent="0.45">
      <c r="D13401" s="47"/>
    </row>
    <row r="13402" spans="4:4" x14ac:dyDescent="0.45">
      <c r="D13402" s="47"/>
    </row>
    <row r="13403" spans="4:4" x14ac:dyDescent="0.45">
      <c r="D13403" s="47"/>
    </row>
    <row r="13404" spans="4:4" x14ac:dyDescent="0.45">
      <c r="D13404" s="47"/>
    </row>
    <row r="13405" spans="4:4" x14ac:dyDescent="0.45">
      <c r="D13405" s="47"/>
    </row>
    <row r="13406" spans="4:4" x14ac:dyDescent="0.45">
      <c r="D13406" s="47"/>
    </row>
    <row r="13407" spans="4:4" x14ac:dyDescent="0.45">
      <c r="D13407" s="47"/>
    </row>
    <row r="13408" spans="4:4" x14ac:dyDescent="0.45">
      <c r="D13408" s="47"/>
    </row>
    <row r="13409" spans="4:4" x14ac:dyDescent="0.45">
      <c r="D13409" s="47"/>
    </row>
    <row r="13410" spans="4:4" x14ac:dyDescent="0.45">
      <c r="D13410" s="47"/>
    </row>
    <row r="13411" spans="4:4" x14ac:dyDescent="0.45">
      <c r="D13411" s="47"/>
    </row>
    <row r="13412" spans="4:4" x14ac:dyDescent="0.45">
      <c r="D13412" s="47"/>
    </row>
    <row r="13413" spans="4:4" x14ac:dyDescent="0.45">
      <c r="D13413" s="47"/>
    </row>
    <row r="13414" spans="4:4" x14ac:dyDescent="0.45">
      <c r="D13414" s="47"/>
    </row>
    <row r="13415" spans="4:4" x14ac:dyDescent="0.45">
      <c r="D13415" s="47"/>
    </row>
    <row r="13416" spans="4:4" x14ac:dyDescent="0.45">
      <c r="D13416" s="47"/>
    </row>
    <row r="13417" spans="4:4" x14ac:dyDescent="0.45">
      <c r="D13417" s="47"/>
    </row>
    <row r="13418" spans="4:4" x14ac:dyDescent="0.45">
      <c r="D13418" s="47"/>
    </row>
    <row r="13419" spans="4:4" x14ac:dyDescent="0.45">
      <c r="D13419" s="47"/>
    </row>
    <row r="13420" spans="4:4" x14ac:dyDescent="0.45">
      <c r="D13420" s="47"/>
    </row>
    <row r="13421" spans="4:4" x14ac:dyDescent="0.45">
      <c r="D13421" s="47"/>
    </row>
    <row r="13422" spans="4:4" x14ac:dyDescent="0.45">
      <c r="D13422" s="47"/>
    </row>
    <row r="13423" spans="4:4" x14ac:dyDescent="0.45">
      <c r="D13423" s="47"/>
    </row>
    <row r="13424" spans="4:4" x14ac:dyDescent="0.45">
      <c r="D13424" s="47"/>
    </row>
    <row r="13425" spans="4:4" x14ac:dyDescent="0.45">
      <c r="D13425" s="47"/>
    </row>
    <row r="13426" spans="4:4" x14ac:dyDescent="0.45">
      <c r="D13426" s="47"/>
    </row>
    <row r="13427" spans="4:4" x14ac:dyDescent="0.45">
      <c r="D13427" s="47"/>
    </row>
    <row r="13428" spans="4:4" x14ac:dyDescent="0.45">
      <c r="D13428" s="47"/>
    </row>
    <row r="13429" spans="4:4" x14ac:dyDescent="0.45">
      <c r="D13429" s="47"/>
    </row>
    <row r="13430" spans="4:4" x14ac:dyDescent="0.45">
      <c r="D13430" s="47"/>
    </row>
    <row r="13431" spans="4:4" x14ac:dyDescent="0.45">
      <c r="D13431" s="47"/>
    </row>
    <row r="13432" spans="4:4" x14ac:dyDescent="0.45">
      <c r="D13432" s="47"/>
    </row>
    <row r="13433" spans="4:4" x14ac:dyDescent="0.45">
      <c r="D13433" s="47"/>
    </row>
    <row r="13434" spans="4:4" x14ac:dyDescent="0.45">
      <c r="D13434" s="47"/>
    </row>
    <row r="13435" spans="4:4" x14ac:dyDescent="0.45">
      <c r="D13435" s="47"/>
    </row>
    <row r="13436" spans="4:4" x14ac:dyDescent="0.45">
      <c r="D13436" s="47"/>
    </row>
    <row r="13437" spans="4:4" x14ac:dyDescent="0.45">
      <c r="D13437" s="47"/>
    </row>
    <row r="13438" spans="4:4" x14ac:dyDescent="0.45">
      <c r="D13438" s="47"/>
    </row>
    <row r="13439" spans="4:4" x14ac:dyDescent="0.45">
      <c r="D13439" s="47"/>
    </row>
    <row r="13440" spans="4:4" x14ac:dyDescent="0.45">
      <c r="D13440" s="47"/>
    </row>
    <row r="13441" spans="4:4" x14ac:dyDescent="0.45">
      <c r="D13441" s="47"/>
    </row>
    <row r="13442" spans="4:4" x14ac:dyDescent="0.45">
      <c r="D13442" s="47"/>
    </row>
    <row r="13443" spans="4:4" x14ac:dyDescent="0.45">
      <c r="D13443" s="47"/>
    </row>
    <row r="13444" spans="4:4" x14ac:dyDescent="0.45">
      <c r="D13444" s="47"/>
    </row>
    <row r="13445" spans="4:4" x14ac:dyDescent="0.45">
      <c r="D13445" s="47"/>
    </row>
    <row r="13446" spans="4:4" x14ac:dyDescent="0.45">
      <c r="D13446" s="47"/>
    </row>
    <row r="13447" spans="4:4" x14ac:dyDescent="0.45">
      <c r="D13447" s="47"/>
    </row>
    <row r="13448" spans="4:4" x14ac:dyDescent="0.45">
      <c r="D13448" s="47"/>
    </row>
    <row r="13449" spans="4:4" x14ac:dyDescent="0.45">
      <c r="D13449" s="47"/>
    </row>
    <row r="13450" spans="4:4" x14ac:dyDescent="0.45">
      <c r="D13450" s="47"/>
    </row>
    <row r="13451" spans="4:4" x14ac:dyDescent="0.45">
      <c r="D13451" s="47"/>
    </row>
    <row r="13452" spans="4:4" x14ac:dyDescent="0.45">
      <c r="D13452" s="47"/>
    </row>
    <row r="13453" spans="4:4" x14ac:dyDescent="0.45">
      <c r="D13453" s="47"/>
    </row>
    <row r="13454" spans="4:4" x14ac:dyDescent="0.45">
      <c r="D13454" s="47"/>
    </row>
    <row r="13455" spans="4:4" x14ac:dyDescent="0.45">
      <c r="D13455" s="47"/>
    </row>
    <row r="13456" spans="4:4" x14ac:dyDescent="0.45">
      <c r="D13456" s="47"/>
    </row>
    <row r="13457" spans="4:4" x14ac:dyDescent="0.45">
      <c r="D13457" s="47"/>
    </row>
    <row r="13458" spans="4:4" x14ac:dyDescent="0.45">
      <c r="D13458" s="47"/>
    </row>
    <row r="13459" spans="4:4" x14ac:dyDescent="0.45">
      <c r="D13459" s="47"/>
    </row>
    <row r="13460" spans="4:4" x14ac:dyDescent="0.45">
      <c r="D13460" s="47"/>
    </row>
    <row r="13461" spans="4:4" x14ac:dyDescent="0.45">
      <c r="D13461" s="47"/>
    </row>
    <row r="13462" spans="4:4" x14ac:dyDescent="0.45">
      <c r="D13462" s="47"/>
    </row>
    <row r="13463" spans="4:4" x14ac:dyDescent="0.45">
      <c r="D13463" s="47"/>
    </row>
    <row r="13464" spans="4:4" x14ac:dyDescent="0.45">
      <c r="D13464" s="47"/>
    </row>
    <row r="13465" spans="4:4" x14ac:dyDescent="0.45">
      <c r="D13465" s="47"/>
    </row>
    <row r="13466" spans="4:4" x14ac:dyDescent="0.45">
      <c r="D13466" s="47"/>
    </row>
    <row r="13467" spans="4:4" x14ac:dyDescent="0.45">
      <c r="D13467" s="47"/>
    </row>
    <row r="13468" spans="4:4" x14ac:dyDescent="0.45">
      <c r="D13468" s="47"/>
    </row>
    <row r="13469" spans="4:4" x14ac:dyDescent="0.45">
      <c r="D13469" s="47"/>
    </row>
    <row r="13470" spans="4:4" x14ac:dyDescent="0.45">
      <c r="D13470" s="47"/>
    </row>
    <row r="13471" spans="4:4" x14ac:dyDescent="0.45">
      <c r="D13471" s="47"/>
    </row>
    <row r="13472" spans="4:4" x14ac:dyDescent="0.45">
      <c r="D13472" s="47"/>
    </row>
    <row r="13473" spans="4:4" x14ac:dyDescent="0.45">
      <c r="D13473" s="47"/>
    </row>
    <row r="13474" spans="4:4" x14ac:dyDescent="0.45">
      <c r="D13474" s="47"/>
    </row>
    <row r="13475" spans="4:4" x14ac:dyDescent="0.45">
      <c r="D13475" s="47"/>
    </row>
    <row r="13476" spans="4:4" x14ac:dyDescent="0.45">
      <c r="D13476" s="47"/>
    </row>
    <row r="13477" spans="4:4" x14ac:dyDescent="0.45">
      <c r="D13477" s="47"/>
    </row>
    <row r="13478" spans="4:4" x14ac:dyDescent="0.45">
      <c r="D13478" s="47"/>
    </row>
    <row r="13479" spans="4:4" x14ac:dyDescent="0.45">
      <c r="D13479" s="47"/>
    </row>
    <row r="13480" spans="4:4" x14ac:dyDescent="0.45">
      <c r="D13480" s="47"/>
    </row>
    <row r="13481" spans="4:4" x14ac:dyDescent="0.45">
      <c r="D13481" s="47"/>
    </row>
    <row r="13482" spans="4:4" x14ac:dyDescent="0.45">
      <c r="D13482" s="47"/>
    </row>
    <row r="13483" spans="4:4" x14ac:dyDescent="0.45">
      <c r="D13483" s="47"/>
    </row>
    <row r="13484" spans="4:4" x14ac:dyDescent="0.45">
      <c r="D13484" s="47"/>
    </row>
    <row r="13485" spans="4:4" x14ac:dyDescent="0.45">
      <c r="D13485" s="47"/>
    </row>
    <row r="13486" spans="4:4" x14ac:dyDescent="0.45">
      <c r="D13486" s="47"/>
    </row>
    <row r="13487" spans="4:4" x14ac:dyDescent="0.45">
      <c r="D13487" s="47"/>
    </row>
    <row r="13488" spans="4:4" x14ac:dyDescent="0.45">
      <c r="D13488" s="47"/>
    </row>
    <row r="13489" spans="4:4" x14ac:dyDescent="0.45">
      <c r="D13489" s="47"/>
    </row>
    <row r="13490" spans="4:4" x14ac:dyDescent="0.45">
      <c r="D13490" s="47"/>
    </row>
    <row r="13491" spans="4:4" x14ac:dyDescent="0.45">
      <c r="D13491" s="47"/>
    </row>
    <row r="13492" spans="4:4" x14ac:dyDescent="0.45">
      <c r="D13492" s="47"/>
    </row>
    <row r="13493" spans="4:4" x14ac:dyDescent="0.45">
      <c r="D13493" s="47"/>
    </row>
    <row r="13494" spans="4:4" x14ac:dyDescent="0.45">
      <c r="D13494" s="47"/>
    </row>
    <row r="13495" spans="4:4" x14ac:dyDescent="0.45">
      <c r="D13495" s="47"/>
    </row>
    <row r="13496" spans="4:4" x14ac:dyDescent="0.45">
      <c r="D13496" s="47"/>
    </row>
    <row r="13497" spans="4:4" x14ac:dyDescent="0.45">
      <c r="D13497" s="47"/>
    </row>
    <row r="13498" spans="4:4" x14ac:dyDescent="0.45">
      <c r="D13498" s="47"/>
    </row>
    <row r="13499" spans="4:4" x14ac:dyDescent="0.45">
      <c r="D13499" s="47"/>
    </row>
    <row r="13500" spans="4:4" x14ac:dyDescent="0.45">
      <c r="D13500" s="47"/>
    </row>
    <row r="13501" spans="4:4" x14ac:dyDescent="0.45">
      <c r="D13501" s="47"/>
    </row>
    <row r="13502" spans="4:4" x14ac:dyDescent="0.45">
      <c r="D13502" s="47"/>
    </row>
    <row r="13503" spans="4:4" x14ac:dyDescent="0.45">
      <c r="D13503" s="47"/>
    </row>
    <row r="13504" spans="4:4" x14ac:dyDescent="0.45">
      <c r="D13504" s="47"/>
    </row>
    <row r="13505" spans="4:4" x14ac:dyDescent="0.45">
      <c r="D13505" s="47"/>
    </row>
    <row r="13506" spans="4:4" x14ac:dyDescent="0.45">
      <c r="D13506" s="47"/>
    </row>
    <row r="13507" spans="4:4" x14ac:dyDescent="0.45">
      <c r="D13507" s="47"/>
    </row>
    <row r="13508" spans="4:4" x14ac:dyDescent="0.45">
      <c r="D13508" s="47"/>
    </row>
    <row r="13509" spans="4:4" x14ac:dyDescent="0.45">
      <c r="D13509" s="47"/>
    </row>
    <row r="13510" spans="4:4" x14ac:dyDescent="0.45">
      <c r="D13510" s="47"/>
    </row>
    <row r="13511" spans="4:4" x14ac:dyDescent="0.45">
      <c r="D13511" s="47"/>
    </row>
    <row r="13512" spans="4:4" x14ac:dyDescent="0.45">
      <c r="D13512" s="47"/>
    </row>
    <row r="13513" spans="4:4" x14ac:dyDescent="0.45">
      <c r="D13513" s="47"/>
    </row>
    <row r="13514" spans="4:4" x14ac:dyDescent="0.45">
      <c r="D13514" s="47"/>
    </row>
    <row r="13515" spans="4:4" x14ac:dyDescent="0.45">
      <c r="D13515" s="47"/>
    </row>
    <row r="13516" spans="4:4" x14ac:dyDescent="0.45">
      <c r="D13516" s="47"/>
    </row>
    <row r="13517" spans="4:4" x14ac:dyDescent="0.45">
      <c r="D13517" s="47"/>
    </row>
    <row r="13518" spans="4:4" x14ac:dyDescent="0.45">
      <c r="D13518" s="47"/>
    </row>
    <row r="13519" spans="4:4" x14ac:dyDescent="0.45">
      <c r="D13519" s="47"/>
    </row>
    <row r="13520" spans="4:4" x14ac:dyDescent="0.45">
      <c r="D13520" s="47"/>
    </row>
    <row r="13521" spans="4:4" x14ac:dyDescent="0.45">
      <c r="D13521" s="47"/>
    </row>
    <row r="13522" spans="4:4" x14ac:dyDescent="0.45">
      <c r="D13522" s="47"/>
    </row>
    <row r="13523" spans="4:4" x14ac:dyDescent="0.45">
      <c r="D13523" s="47"/>
    </row>
    <row r="13524" spans="4:4" x14ac:dyDescent="0.45">
      <c r="D13524" s="47"/>
    </row>
    <row r="13525" spans="4:4" x14ac:dyDescent="0.45">
      <c r="D13525" s="47"/>
    </row>
    <row r="13526" spans="4:4" x14ac:dyDescent="0.45">
      <c r="D13526" s="47"/>
    </row>
    <row r="13527" spans="4:4" x14ac:dyDescent="0.45">
      <c r="D13527" s="47"/>
    </row>
    <row r="13528" spans="4:4" x14ac:dyDescent="0.45">
      <c r="D13528" s="47"/>
    </row>
    <row r="13529" spans="4:4" x14ac:dyDescent="0.45">
      <c r="D13529" s="47"/>
    </row>
    <row r="13530" spans="4:4" x14ac:dyDescent="0.45">
      <c r="D13530" s="47"/>
    </row>
    <row r="13531" spans="4:4" x14ac:dyDescent="0.45">
      <c r="D13531" s="47"/>
    </row>
    <row r="13532" spans="4:4" x14ac:dyDescent="0.45">
      <c r="D13532" s="47"/>
    </row>
    <row r="13533" spans="4:4" x14ac:dyDescent="0.45">
      <c r="D13533" s="47"/>
    </row>
    <row r="13534" spans="4:4" x14ac:dyDescent="0.45">
      <c r="D13534" s="47"/>
    </row>
    <row r="13535" spans="4:4" x14ac:dyDescent="0.45">
      <c r="D13535" s="47"/>
    </row>
    <row r="13536" spans="4:4" x14ac:dyDescent="0.45">
      <c r="D13536" s="47"/>
    </row>
    <row r="13537" spans="4:4" x14ac:dyDescent="0.45">
      <c r="D13537" s="47"/>
    </row>
    <row r="13538" spans="4:4" x14ac:dyDescent="0.45">
      <c r="D13538" s="47"/>
    </row>
    <row r="13539" spans="4:4" x14ac:dyDescent="0.45">
      <c r="D13539" s="47"/>
    </row>
    <row r="13540" spans="4:4" x14ac:dyDescent="0.45">
      <c r="D13540" s="47"/>
    </row>
    <row r="13541" spans="4:4" x14ac:dyDescent="0.45">
      <c r="D13541" s="47"/>
    </row>
    <row r="13542" spans="4:4" x14ac:dyDescent="0.45">
      <c r="D13542" s="47"/>
    </row>
    <row r="13543" spans="4:4" x14ac:dyDescent="0.45">
      <c r="D13543" s="47"/>
    </row>
    <row r="13544" spans="4:4" x14ac:dyDescent="0.45">
      <c r="D13544" s="47"/>
    </row>
    <row r="13545" spans="4:4" x14ac:dyDescent="0.45">
      <c r="D13545" s="47"/>
    </row>
    <row r="13546" spans="4:4" x14ac:dyDescent="0.45">
      <c r="D13546" s="47"/>
    </row>
    <row r="13547" spans="4:4" x14ac:dyDescent="0.45">
      <c r="D13547" s="47"/>
    </row>
    <row r="13548" spans="4:4" x14ac:dyDescent="0.45">
      <c r="D13548" s="47"/>
    </row>
    <row r="13549" spans="4:4" x14ac:dyDescent="0.45">
      <c r="D13549" s="47"/>
    </row>
    <row r="13550" spans="4:4" x14ac:dyDescent="0.45">
      <c r="D13550" s="47"/>
    </row>
    <row r="13551" spans="4:4" x14ac:dyDescent="0.45">
      <c r="D13551" s="47"/>
    </row>
    <row r="13552" spans="4:4" x14ac:dyDescent="0.45">
      <c r="D13552" s="47"/>
    </row>
    <row r="13553" spans="4:4" x14ac:dyDescent="0.45">
      <c r="D13553" s="47"/>
    </row>
    <row r="13554" spans="4:4" x14ac:dyDescent="0.45">
      <c r="D13554" s="47"/>
    </row>
    <row r="13555" spans="4:4" x14ac:dyDescent="0.45">
      <c r="D13555" s="47"/>
    </row>
    <row r="13556" spans="4:4" x14ac:dyDescent="0.45">
      <c r="D13556" s="47"/>
    </row>
    <row r="13557" spans="4:4" x14ac:dyDescent="0.45">
      <c r="D13557" s="47"/>
    </row>
    <row r="13558" spans="4:4" x14ac:dyDescent="0.45">
      <c r="D13558" s="47"/>
    </row>
    <row r="13559" spans="4:4" x14ac:dyDescent="0.45">
      <c r="D13559" s="47"/>
    </row>
    <row r="13560" spans="4:4" x14ac:dyDescent="0.45">
      <c r="D13560" s="47"/>
    </row>
    <row r="13561" spans="4:4" x14ac:dyDescent="0.45">
      <c r="D13561" s="47"/>
    </row>
    <row r="13562" spans="4:4" x14ac:dyDescent="0.45">
      <c r="D13562" s="47"/>
    </row>
    <row r="13563" spans="4:4" x14ac:dyDescent="0.45">
      <c r="D13563" s="47"/>
    </row>
    <row r="13564" spans="4:4" x14ac:dyDescent="0.45">
      <c r="D13564" s="47"/>
    </row>
    <row r="13565" spans="4:4" x14ac:dyDescent="0.45">
      <c r="D13565" s="47"/>
    </row>
    <row r="13566" spans="4:4" x14ac:dyDescent="0.45">
      <c r="D13566" s="47"/>
    </row>
    <row r="13567" spans="4:4" x14ac:dyDescent="0.45">
      <c r="D13567" s="47"/>
    </row>
    <row r="13568" spans="4:4" x14ac:dyDescent="0.45">
      <c r="D13568" s="47"/>
    </row>
    <row r="13569" spans="4:4" x14ac:dyDescent="0.45">
      <c r="D13569" s="47"/>
    </row>
    <row r="13570" spans="4:4" x14ac:dyDescent="0.45">
      <c r="D13570" s="47"/>
    </row>
    <row r="13571" spans="4:4" x14ac:dyDescent="0.45">
      <c r="D13571" s="47"/>
    </row>
    <row r="13572" spans="4:4" x14ac:dyDescent="0.45">
      <c r="D13572" s="47"/>
    </row>
    <row r="13573" spans="4:4" x14ac:dyDescent="0.45">
      <c r="D13573" s="47"/>
    </row>
    <row r="13574" spans="4:4" x14ac:dyDescent="0.45">
      <c r="D13574" s="47"/>
    </row>
    <row r="13575" spans="4:4" x14ac:dyDescent="0.45">
      <c r="D13575" s="47"/>
    </row>
    <row r="13576" spans="4:4" x14ac:dyDescent="0.45">
      <c r="D13576" s="47"/>
    </row>
    <row r="13577" spans="4:4" x14ac:dyDescent="0.45">
      <c r="D13577" s="47"/>
    </row>
    <row r="13578" spans="4:4" x14ac:dyDescent="0.45">
      <c r="D13578" s="47"/>
    </row>
    <row r="13579" spans="4:4" x14ac:dyDescent="0.45">
      <c r="D13579" s="47"/>
    </row>
    <row r="13580" spans="4:4" x14ac:dyDescent="0.45">
      <c r="D13580" s="47"/>
    </row>
    <row r="13581" spans="4:4" x14ac:dyDescent="0.45">
      <c r="D13581" s="47"/>
    </row>
    <row r="13582" spans="4:4" x14ac:dyDescent="0.45">
      <c r="D13582" s="47"/>
    </row>
    <row r="13583" spans="4:4" x14ac:dyDescent="0.45">
      <c r="D13583" s="47"/>
    </row>
    <row r="13584" spans="4:4" x14ac:dyDescent="0.45">
      <c r="D13584" s="47"/>
    </row>
    <row r="13585" spans="4:4" x14ac:dyDescent="0.45">
      <c r="D13585" s="47"/>
    </row>
    <row r="13586" spans="4:4" x14ac:dyDescent="0.45">
      <c r="D13586" s="47"/>
    </row>
    <row r="13587" spans="4:4" x14ac:dyDescent="0.45">
      <c r="D13587" s="47"/>
    </row>
    <row r="13588" spans="4:4" x14ac:dyDescent="0.45">
      <c r="D13588" s="47"/>
    </row>
    <row r="13589" spans="4:4" x14ac:dyDescent="0.45">
      <c r="D13589" s="47"/>
    </row>
    <row r="13590" spans="4:4" x14ac:dyDescent="0.45">
      <c r="D13590" s="47"/>
    </row>
    <row r="13591" spans="4:4" x14ac:dyDescent="0.45">
      <c r="D13591" s="47"/>
    </row>
    <row r="13592" spans="4:4" x14ac:dyDescent="0.45">
      <c r="D13592" s="47"/>
    </row>
    <row r="13593" spans="4:4" x14ac:dyDescent="0.45">
      <c r="D13593" s="47"/>
    </row>
    <row r="13594" spans="4:4" x14ac:dyDescent="0.45">
      <c r="D13594" s="47"/>
    </row>
    <row r="13595" spans="4:4" x14ac:dyDescent="0.45">
      <c r="D13595" s="47"/>
    </row>
    <row r="13596" spans="4:4" x14ac:dyDescent="0.45">
      <c r="D13596" s="47"/>
    </row>
    <row r="13597" spans="4:4" x14ac:dyDescent="0.45">
      <c r="D13597" s="47"/>
    </row>
    <row r="13598" spans="4:4" x14ac:dyDescent="0.45">
      <c r="D13598" s="47"/>
    </row>
    <row r="13599" spans="4:4" x14ac:dyDescent="0.45">
      <c r="D13599" s="47"/>
    </row>
    <row r="13600" spans="4:4" x14ac:dyDescent="0.45">
      <c r="D13600" s="47"/>
    </row>
    <row r="13601" spans="4:4" x14ac:dyDescent="0.45">
      <c r="D13601" s="47"/>
    </row>
    <row r="13602" spans="4:4" x14ac:dyDescent="0.45">
      <c r="D13602" s="47"/>
    </row>
    <row r="13603" spans="4:4" x14ac:dyDescent="0.45">
      <c r="D13603" s="47"/>
    </row>
    <row r="13604" spans="4:4" x14ac:dyDescent="0.45">
      <c r="D13604" s="47"/>
    </row>
    <row r="13605" spans="4:4" x14ac:dyDescent="0.45">
      <c r="D13605" s="47"/>
    </row>
    <row r="13606" spans="4:4" x14ac:dyDescent="0.45">
      <c r="D13606" s="47"/>
    </row>
    <row r="13607" spans="4:4" x14ac:dyDescent="0.45">
      <c r="D13607" s="47"/>
    </row>
    <row r="13608" spans="4:4" x14ac:dyDescent="0.45">
      <c r="D13608" s="47"/>
    </row>
    <row r="13609" spans="4:4" x14ac:dyDescent="0.45">
      <c r="D13609" s="47"/>
    </row>
    <row r="13610" spans="4:4" x14ac:dyDescent="0.45">
      <c r="D13610" s="47"/>
    </row>
    <row r="13611" spans="4:4" x14ac:dyDescent="0.45">
      <c r="D13611" s="47"/>
    </row>
    <row r="13612" spans="4:4" x14ac:dyDescent="0.45">
      <c r="D13612" s="47"/>
    </row>
    <row r="13613" spans="4:4" x14ac:dyDescent="0.45">
      <c r="D13613" s="47"/>
    </row>
    <row r="13614" spans="4:4" x14ac:dyDescent="0.45">
      <c r="D13614" s="47"/>
    </row>
    <row r="13615" spans="4:4" x14ac:dyDescent="0.45">
      <c r="D13615" s="47"/>
    </row>
    <row r="13616" spans="4:4" x14ac:dyDescent="0.45">
      <c r="D13616" s="47"/>
    </row>
    <row r="13617" spans="4:4" x14ac:dyDescent="0.45">
      <c r="D13617" s="47"/>
    </row>
    <row r="13618" spans="4:4" x14ac:dyDescent="0.45">
      <c r="D13618" s="47"/>
    </row>
    <row r="13619" spans="4:4" x14ac:dyDescent="0.45">
      <c r="D13619" s="47"/>
    </row>
    <row r="13620" spans="4:4" x14ac:dyDescent="0.45">
      <c r="D13620" s="47"/>
    </row>
    <row r="13621" spans="4:4" x14ac:dyDescent="0.45">
      <c r="D13621" s="47"/>
    </row>
    <row r="13622" spans="4:4" x14ac:dyDescent="0.45">
      <c r="D13622" s="47"/>
    </row>
    <row r="13623" spans="4:4" x14ac:dyDescent="0.45">
      <c r="D13623" s="47"/>
    </row>
    <row r="13624" spans="4:4" x14ac:dyDescent="0.45">
      <c r="D13624" s="47"/>
    </row>
    <row r="13625" spans="4:4" x14ac:dyDescent="0.45">
      <c r="D13625" s="47"/>
    </row>
    <row r="13626" spans="4:4" x14ac:dyDescent="0.45">
      <c r="D13626" s="47"/>
    </row>
    <row r="13627" spans="4:4" x14ac:dyDescent="0.45">
      <c r="D13627" s="47"/>
    </row>
    <row r="13628" spans="4:4" x14ac:dyDescent="0.45">
      <c r="D13628" s="47"/>
    </row>
    <row r="13629" spans="4:4" x14ac:dyDescent="0.45">
      <c r="D13629" s="47"/>
    </row>
    <row r="13630" spans="4:4" x14ac:dyDescent="0.45">
      <c r="D13630" s="47"/>
    </row>
    <row r="13631" spans="4:4" x14ac:dyDescent="0.45">
      <c r="D13631" s="47"/>
    </row>
    <row r="13632" spans="4:4" x14ac:dyDescent="0.45">
      <c r="D13632" s="47"/>
    </row>
    <row r="13633" spans="4:4" x14ac:dyDescent="0.45">
      <c r="D13633" s="47"/>
    </row>
    <row r="13634" spans="4:4" x14ac:dyDescent="0.45">
      <c r="D13634" s="47"/>
    </row>
    <row r="13635" spans="4:4" x14ac:dyDescent="0.45">
      <c r="D13635" s="47"/>
    </row>
    <row r="13636" spans="4:4" x14ac:dyDescent="0.45">
      <c r="D13636" s="47"/>
    </row>
    <row r="13637" spans="4:4" x14ac:dyDescent="0.45">
      <c r="D13637" s="47"/>
    </row>
    <row r="13638" spans="4:4" x14ac:dyDescent="0.45">
      <c r="D13638" s="47"/>
    </row>
    <row r="13639" spans="4:4" x14ac:dyDescent="0.45">
      <c r="D13639" s="47"/>
    </row>
    <row r="13640" spans="4:4" x14ac:dyDescent="0.45">
      <c r="D13640" s="47"/>
    </row>
    <row r="13641" spans="4:4" x14ac:dyDescent="0.45">
      <c r="D13641" s="47"/>
    </row>
    <row r="13642" spans="4:4" x14ac:dyDescent="0.45">
      <c r="D13642" s="47"/>
    </row>
    <row r="13643" spans="4:4" x14ac:dyDescent="0.45">
      <c r="D13643" s="47"/>
    </row>
    <row r="13644" spans="4:4" x14ac:dyDescent="0.45">
      <c r="D13644" s="47"/>
    </row>
    <row r="13645" spans="4:4" x14ac:dyDescent="0.45">
      <c r="D13645" s="47"/>
    </row>
    <row r="13646" spans="4:4" x14ac:dyDescent="0.45">
      <c r="D13646" s="47"/>
    </row>
    <row r="13647" spans="4:4" x14ac:dyDescent="0.45">
      <c r="D13647" s="47"/>
    </row>
    <row r="13648" spans="4:4" x14ac:dyDescent="0.45">
      <c r="D13648" s="47"/>
    </row>
    <row r="13649" spans="4:4" x14ac:dyDescent="0.45">
      <c r="D13649" s="47"/>
    </row>
    <row r="13650" spans="4:4" x14ac:dyDescent="0.45">
      <c r="D13650" s="47"/>
    </row>
    <row r="13651" spans="4:4" x14ac:dyDescent="0.45">
      <c r="D13651" s="47"/>
    </row>
    <row r="13652" spans="4:4" x14ac:dyDescent="0.45">
      <c r="D13652" s="47"/>
    </row>
    <row r="13653" spans="4:4" x14ac:dyDescent="0.45">
      <c r="D13653" s="47"/>
    </row>
    <row r="13654" spans="4:4" x14ac:dyDescent="0.45">
      <c r="D13654" s="47"/>
    </row>
    <row r="13655" spans="4:4" x14ac:dyDescent="0.45">
      <c r="D13655" s="47"/>
    </row>
    <row r="13656" spans="4:4" x14ac:dyDescent="0.45">
      <c r="D13656" s="47"/>
    </row>
    <row r="13657" spans="4:4" x14ac:dyDescent="0.45">
      <c r="D13657" s="47"/>
    </row>
    <row r="13658" spans="4:4" x14ac:dyDescent="0.45">
      <c r="D13658" s="47"/>
    </row>
    <row r="13659" spans="4:4" x14ac:dyDescent="0.45">
      <c r="D13659" s="47"/>
    </row>
    <row r="13660" spans="4:4" x14ac:dyDescent="0.45">
      <c r="D13660" s="47"/>
    </row>
    <row r="13661" spans="4:4" x14ac:dyDescent="0.45">
      <c r="D13661" s="47"/>
    </row>
    <row r="13662" spans="4:4" x14ac:dyDescent="0.45">
      <c r="D13662" s="47"/>
    </row>
    <row r="13663" spans="4:4" x14ac:dyDescent="0.45">
      <c r="D13663" s="47"/>
    </row>
    <row r="13664" spans="4:4" x14ac:dyDescent="0.45">
      <c r="D13664" s="47"/>
    </row>
    <row r="13665" spans="4:4" x14ac:dyDescent="0.45">
      <c r="D13665" s="47"/>
    </row>
    <row r="13666" spans="4:4" x14ac:dyDescent="0.45">
      <c r="D13666" s="47"/>
    </row>
    <row r="13667" spans="4:4" x14ac:dyDescent="0.45">
      <c r="D13667" s="47"/>
    </row>
    <row r="13668" spans="4:4" x14ac:dyDescent="0.45">
      <c r="D13668" s="47"/>
    </row>
    <row r="13669" spans="4:4" x14ac:dyDescent="0.45">
      <c r="D13669" s="47"/>
    </row>
    <row r="13670" spans="4:4" x14ac:dyDescent="0.45">
      <c r="D13670" s="47"/>
    </row>
    <row r="13671" spans="4:4" x14ac:dyDescent="0.45">
      <c r="D13671" s="47"/>
    </row>
    <row r="13672" spans="4:4" x14ac:dyDescent="0.45">
      <c r="D13672" s="47"/>
    </row>
    <row r="13673" spans="4:4" x14ac:dyDescent="0.45">
      <c r="D13673" s="47"/>
    </row>
    <row r="13674" spans="4:4" x14ac:dyDescent="0.45">
      <c r="D13674" s="47"/>
    </row>
    <row r="13675" spans="4:4" x14ac:dyDescent="0.45">
      <c r="D13675" s="47"/>
    </row>
    <row r="13676" spans="4:4" x14ac:dyDescent="0.45">
      <c r="D13676" s="47"/>
    </row>
    <row r="13677" spans="4:4" x14ac:dyDescent="0.45">
      <c r="D13677" s="47"/>
    </row>
    <row r="13678" spans="4:4" x14ac:dyDescent="0.45">
      <c r="D13678" s="47"/>
    </row>
    <row r="13679" spans="4:4" x14ac:dyDescent="0.45">
      <c r="D13679" s="47"/>
    </row>
    <row r="13680" spans="4:4" x14ac:dyDescent="0.45">
      <c r="D13680" s="47"/>
    </row>
    <row r="13681" spans="4:4" x14ac:dyDescent="0.45">
      <c r="D13681" s="47"/>
    </row>
    <row r="13682" spans="4:4" x14ac:dyDescent="0.45">
      <c r="D13682" s="47"/>
    </row>
    <row r="13683" spans="4:4" x14ac:dyDescent="0.45">
      <c r="D13683" s="47"/>
    </row>
    <row r="13684" spans="4:4" x14ac:dyDescent="0.45">
      <c r="D13684" s="47"/>
    </row>
    <row r="13685" spans="4:4" x14ac:dyDescent="0.45">
      <c r="D13685" s="47"/>
    </row>
    <row r="13686" spans="4:4" x14ac:dyDescent="0.45">
      <c r="D13686" s="47"/>
    </row>
    <row r="13687" spans="4:4" x14ac:dyDescent="0.45">
      <c r="D13687" s="47"/>
    </row>
    <row r="13688" spans="4:4" x14ac:dyDescent="0.45">
      <c r="D13688" s="47"/>
    </row>
    <row r="13689" spans="4:4" x14ac:dyDescent="0.45">
      <c r="D13689" s="47"/>
    </row>
    <row r="13690" spans="4:4" x14ac:dyDescent="0.45">
      <c r="D13690" s="47"/>
    </row>
    <row r="13691" spans="4:4" x14ac:dyDescent="0.45">
      <c r="D13691" s="47"/>
    </row>
    <row r="13692" spans="4:4" x14ac:dyDescent="0.45">
      <c r="D13692" s="47"/>
    </row>
    <row r="13693" spans="4:4" x14ac:dyDescent="0.45">
      <c r="D13693" s="47"/>
    </row>
    <row r="13694" spans="4:4" x14ac:dyDescent="0.45">
      <c r="D13694" s="47"/>
    </row>
    <row r="13695" spans="4:4" x14ac:dyDescent="0.45">
      <c r="D13695" s="47"/>
    </row>
    <row r="13696" spans="4:4" x14ac:dyDescent="0.45">
      <c r="D13696" s="47"/>
    </row>
    <row r="13697" spans="4:4" x14ac:dyDescent="0.45">
      <c r="D13697" s="47"/>
    </row>
    <row r="13698" spans="4:4" x14ac:dyDescent="0.45">
      <c r="D13698" s="47"/>
    </row>
    <row r="13699" spans="4:4" x14ac:dyDescent="0.45">
      <c r="D13699" s="47"/>
    </row>
    <row r="13700" spans="4:4" x14ac:dyDescent="0.45">
      <c r="D13700" s="47"/>
    </row>
    <row r="13701" spans="4:4" x14ac:dyDescent="0.45">
      <c r="D13701" s="47"/>
    </row>
    <row r="13702" spans="4:4" x14ac:dyDescent="0.45">
      <c r="D13702" s="47"/>
    </row>
    <row r="13703" spans="4:4" x14ac:dyDescent="0.45">
      <c r="D13703" s="47"/>
    </row>
    <row r="13704" spans="4:4" x14ac:dyDescent="0.45">
      <c r="D13704" s="47"/>
    </row>
    <row r="13705" spans="4:4" x14ac:dyDescent="0.45">
      <c r="D13705" s="47"/>
    </row>
    <row r="13706" spans="4:4" x14ac:dyDescent="0.45">
      <c r="D13706" s="47"/>
    </row>
    <row r="13707" spans="4:4" x14ac:dyDescent="0.45">
      <c r="D13707" s="47"/>
    </row>
    <row r="13708" spans="4:4" x14ac:dyDescent="0.45">
      <c r="D13708" s="47"/>
    </row>
    <row r="13709" spans="4:4" x14ac:dyDescent="0.45">
      <c r="D13709" s="47"/>
    </row>
    <row r="13710" spans="4:4" x14ac:dyDescent="0.45">
      <c r="D13710" s="47"/>
    </row>
    <row r="13711" spans="4:4" x14ac:dyDescent="0.45">
      <c r="D13711" s="47"/>
    </row>
    <row r="13712" spans="4:4" x14ac:dyDescent="0.45">
      <c r="D13712" s="47"/>
    </row>
    <row r="13713" spans="4:4" x14ac:dyDescent="0.45">
      <c r="D13713" s="47"/>
    </row>
    <row r="13714" spans="4:4" x14ac:dyDescent="0.45">
      <c r="D13714" s="47"/>
    </row>
    <row r="13715" spans="4:4" x14ac:dyDescent="0.45">
      <c r="D13715" s="47"/>
    </row>
    <row r="13716" spans="4:4" x14ac:dyDescent="0.45">
      <c r="D13716" s="47"/>
    </row>
    <row r="13717" spans="4:4" x14ac:dyDescent="0.45">
      <c r="D13717" s="47"/>
    </row>
    <row r="13718" spans="4:4" x14ac:dyDescent="0.45">
      <c r="D13718" s="47"/>
    </row>
    <row r="13719" spans="4:4" x14ac:dyDescent="0.45">
      <c r="D13719" s="47"/>
    </row>
    <row r="13720" spans="4:4" x14ac:dyDescent="0.45">
      <c r="D13720" s="47"/>
    </row>
    <row r="13721" spans="4:4" x14ac:dyDescent="0.45">
      <c r="D13721" s="47"/>
    </row>
    <row r="13722" spans="4:4" x14ac:dyDescent="0.45">
      <c r="D13722" s="47"/>
    </row>
    <row r="13723" spans="4:4" x14ac:dyDescent="0.45">
      <c r="D13723" s="47"/>
    </row>
    <row r="13724" spans="4:4" x14ac:dyDescent="0.45">
      <c r="D13724" s="47"/>
    </row>
    <row r="13725" spans="4:4" x14ac:dyDescent="0.45">
      <c r="D13725" s="47"/>
    </row>
    <row r="13726" spans="4:4" x14ac:dyDescent="0.45">
      <c r="D13726" s="47"/>
    </row>
    <row r="13727" spans="4:4" x14ac:dyDescent="0.45">
      <c r="D13727" s="47"/>
    </row>
    <row r="13728" spans="4:4" x14ac:dyDescent="0.45">
      <c r="D13728" s="47"/>
    </row>
    <row r="13729" spans="4:4" x14ac:dyDescent="0.45">
      <c r="D13729" s="47"/>
    </row>
    <row r="13730" spans="4:4" x14ac:dyDescent="0.45">
      <c r="D13730" s="47"/>
    </row>
    <row r="13731" spans="4:4" x14ac:dyDescent="0.45">
      <c r="D13731" s="47"/>
    </row>
    <row r="13732" spans="4:4" x14ac:dyDescent="0.45">
      <c r="D13732" s="47"/>
    </row>
    <row r="13733" spans="4:4" x14ac:dyDescent="0.45">
      <c r="D13733" s="47"/>
    </row>
    <row r="13734" spans="4:4" x14ac:dyDescent="0.45">
      <c r="D13734" s="47"/>
    </row>
    <row r="13735" spans="4:4" x14ac:dyDescent="0.45">
      <c r="D13735" s="47"/>
    </row>
    <row r="13736" spans="4:4" x14ac:dyDescent="0.45">
      <c r="D13736" s="47"/>
    </row>
    <row r="13737" spans="4:4" x14ac:dyDescent="0.45">
      <c r="D13737" s="47"/>
    </row>
    <row r="13738" spans="4:4" x14ac:dyDescent="0.45">
      <c r="D13738" s="47"/>
    </row>
    <row r="13739" spans="4:4" x14ac:dyDescent="0.45">
      <c r="D13739" s="47"/>
    </row>
    <row r="13740" spans="4:4" x14ac:dyDescent="0.45">
      <c r="D13740" s="47"/>
    </row>
    <row r="13741" spans="4:4" x14ac:dyDescent="0.45">
      <c r="D13741" s="47"/>
    </row>
    <row r="13742" spans="4:4" x14ac:dyDescent="0.45">
      <c r="D13742" s="47"/>
    </row>
    <row r="13743" spans="4:4" x14ac:dyDescent="0.45">
      <c r="D13743" s="47"/>
    </row>
    <row r="13744" spans="4:4" x14ac:dyDescent="0.45">
      <c r="D13744" s="47"/>
    </row>
    <row r="13745" spans="4:4" x14ac:dyDescent="0.45">
      <c r="D13745" s="47"/>
    </row>
    <row r="13746" spans="4:4" x14ac:dyDescent="0.45">
      <c r="D13746" s="47"/>
    </row>
    <row r="13747" spans="4:4" x14ac:dyDescent="0.45">
      <c r="D13747" s="47"/>
    </row>
    <row r="13748" spans="4:4" x14ac:dyDescent="0.45">
      <c r="D13748" s="47"/>
    </row>
    <row r="13749" spans="4:4" x14ac:dyDescent="0.45">
      <c r="D13749" s="47"/>
    </row>
    <row r="13750" spans="4:4" x14ac:dyDescent="0.45">
      <c r="D13750" s="47"/>
    </row>
    <row r="13751" spans="4:4" x14ac:dyDescent="0.45">
      <c r="D13751" s="47"/>
    </row>
    <row r="13752" spans="4:4" x14ac:dyDescent="0.45">
      <c r="D13752" s="47"/>
    </row>
    <row r="13753" spans="4:4" x14ac:dyDescent="0.45">
      <c r="D13753" s="47"/>
    </row>
    <row r="13754" spans="4:4" x14ac:dyDescent="0.45">
      <c r="D13754" s="47"/>
    </row>
    <row r="13755" spans="4:4" x14ac:dyDescent="0.45">
      <c r="D13755" s="47"/>
    </row>
    <row r="13756" spans="4:4" x14ac:dyDescent="0.45">
      <c r="D13756" s="47"/>
    </row>
    <row r="13757" spans="4:4" x14ac:dyDescent="0.45">
      <c r="D13757" s="47"/>
    </row>
    <row r="13758" spans="4:4" x14ac:dyDescent="0.45">
      <c r="D13758" s="47"/>
    </row>
    <row r="13759" spans="4:4" x14ac:dyDescent="0.45">
      <c r="D13759" s="47"/>
    </row>
    <row r="13760" spans="4:4" x14ac:dyDescent="0.45">
      <c r="D13760" s="47"/>
    </row>
    <row r="13761" spans="4:4" x14ac:dyDescent="0.45">
      <c r="D13761" s="47"/>
    </row>
    <row r="13762" spans="4:4" x14ac:dyDescent="0.45">
      <c r="D13762" s="47"/>
    </row>
    <row r="13763" spans="4:4" x14ac:dyDescent="0.45">
      <c r="D13763" s="47"/>
    </row>
    <row r="13764" spans="4:4" x14ac:dyDescent="0.45">
      <c r="D13764" s="47"/>
    </row>
    <row r="13765" spans="4:4" x14ac:dyDescent="0.45">
      <c r="D13765" s="47"/>
    </row>
    <row r="13766" spans="4:4" x14ac:dyDescent="0.45">
      <c r="D13766" s="47"/>
    </row>
    <row r="13767" spans="4:4" x14ac:dyDescent="0.45">
      <c r="D13767" s="47"/>
    </row>
    <row r="13768" spans="4:4" x14ac:dyDescent="0.45">
      <c r="D13768" s="47"/>
    </row>
    <row r="13769" spans="4:4" x14ac:dyDescent="0.45">
      <c r="D13769" s="47"/>
    </row>
    <row r="13770" spans="4:4" x14ac:dyDescent="0.45">
      <c r="D13770" s="47"/>
    </row>
    <row r="13771" spans="4:4" x14ac:dyDescent="0.45">
      <c r="D13771" s="47"/>
    </row>
    <row r="13772" spans="4:4" x14ac:dyDescent="0.45">
      <c r="D13772" s="47"/>
    </row>
    <row r="13773" spans="4:4" x14ac:dyDescent="0.45">
      <c r="D13773" s="47"/>
    </row>
    <row r="13774" spans="4:4" x14ac:dyDescent="0.45">
      <c r="D13774" s="47"/>
    </row>
    <row r="13775" spans="4:4" x14ac:dyDescent="0.45">
      <c r="D13775" s="47"/>
    </row>
    <row r="13776" spans="4:4" x14ac:dyDescent="0.45">
      <c r="D13776" s="47"/>
    </row>
    <row r="13777" spans="4:4" x14ac:dyDescent="0.45">
      <c r="D13777" s="47"/>
    </row>
    <row r="13778" spans="4:4" x14ac:dyDescent="0.45">
      <c r="D13778" s="47"/>
    </row>
    <row r="13779" spans="4:4" x14ac:dyDescent="0.45">
      <c r="D13779" s="47"/>
    </row>
    <row r="13780" spans="4:4" x14ac:dyDescent="0.45">
      <c r="D13780" s="47"/>
    </row>
    <row r="13781" spans="4:4" x14ac:dyDescent="0.45">
      <c r="D13781" s="47"/>
    </row>
    <row r="13782" spans="4:4" x14ac:dyDescent="0.45">
      <c r="D13782" s="47"/>
    </row>
    <row r="13783" spans="4:4" x14ac:dyDescent="0.45">
      <c r="D13783" s="47"/>
    </row>
    <row r="13784" spans="4:4" x14ac:dyDescent="0.45">
      <c r="D13784" s="47"/>
    </row>
    <row r="13785" spans="4:4" x14ac:dyDescent="0.45">
      <c r="D13785" s="47"/>
    </row>
    <row r="13786" spans="4:4" x14ac:dyDescent="0.45">
      <c r="D13786" s="47"/>
    </row>
    <row r="13787" spans="4:4" x14ac:dyDescent="0.45">
      <c r="D13787" s="47"/>
    </row>
    <row r="13788" spans="4:4" x14ac:dyDescent="0.45">
      <c r="D13788" s="47"/>
    </row>
    <row r="13789" spans="4:4" x14ac:dyDescent="0.45">
      <c r="D13789" s="47"/>
    </row>
    <row r="13790" spans="4:4" x14ac:dyDescent="0.45">
      <c r="D13790" s="47"/>
    </row>
    <row r="13791" spans="4:4" x14ac:dyDescent="0.45">
      <c r="D13791" s="47"/>
    </row>
    <row r="13792" spans="4:4" x14ac:dyDescent="0.45">
      <c r="D13792" s="47"/>
    </row>
    <row r="13793" spans="4:4" x14ac:dyDescent="0.45">
      <c r="D13793" s="47"/>
    </row>
    <row r="13794" spans="4:4" x14ac:dyDescent="0.45">
      <c r="D13794" s="47"/>
    </row>
    <row r="13795" spans="4:4" x14ac:dyDescent="0.45">
      <c r="D13795" s="47"/>
    </row>
    <row r="13796" spans="4:4" x14ac:dyDescent="0.45">
      <c r="D13796" s="47"/>
    </row>
    <row r="13797" spans="4:4" x14ac:dyDescent="0.45">
      <c r="D13797" s="47"/>
    </row>
    <row r="13798" spans="4:4" x14ac:dyDescent="0.45">
      <c r="D13798" s="47"/>
    </row>
    <row r="13799" spans="4:4" x14ac:dyDescent="0.45">
      <c r="D13799" s="47"/>
    </row>
    <row r="13800" spans="4:4" x14ac:dyDescent="0.45">
      <c r="D13800" s="47"/>
    </row>
    <row r="13801" spans="4:4" x14ac:dyDescent="0.45">
      <c r="D13801" s="47"/>
    </row>
    <row r="13802" spans="4:4" x14ac:dyDescent="0.45">
      <c r="D13802" s="47"/>
    </row>
    <row r="13803" spans="4:4" x14ac:dyDescent="0.45">
      <c r="D13803" s="47"/>
    </row>
    <row r="13804" spans="4:4" x14ac:dyDescent="0.45">
      <c r="D13804" s="47"/>
    </row>
    <row r="13805" spans="4:4" x14ac:dyDescent="0.45">
      <c r="D13805" s="47"/>
    </row>
    <row r="13806" spans="4:4" x14ac:dyDescent="0.45">
      <c r="D13806" s="47"/>
    </row>
    <row r="13807" spans="4:4" x14ac:dyDescent="0.45">
      <c r="D13807" s="47"/>
    </row>
    <row r="13808" spans="4:4" x14ac:dyDescent="0.45">
      <c r="D13808" s="47"/>
    </row>
    <row r="13809" spans="4:4" x14ac:dyDescent="0.45">
      <c r="D13809" s="47"/>
    </row>
    <row r="13810" spans="4:4" x14ac:dyDescent="0.45">
      <c r="D13810" s="47"/>
    </row>
    <row r="13811" spans="4:4" x14ac:dyDescent="0.45">
      <c r="D13811" s="47"/>
    </row>
    <row r="13812" spans="4:4" x14ac:dyDescent="0.45">
      <c r="D13812" s="47"/>
    </row>
    <row r="13813" spans="4:4" x14ac:dyDescent="0.45">
      <c r="D13813" s="47"/>
    </row>
    <row r="13814" spans="4:4" x14ac:dyDescent="0.45">
      <c r="D13814" s="47"/>
    </row>
    <row r="13815" spans="4:4" x14ac:dyDescent="0.45">
      <c r="D13815" s="47"/>
    </row>
    <row r="13816" spans="4:4" x14ac:dyDescent="0.45">
      <c r="D13816" s="47"/>
    </row>
    <row r="13817" spans="4:4" x14ac:dyDescent="0.45">
      <c r="D13817" s="47"/>
    </row>
    <row r="13818" spans="4:4" x14ac:dyDescent="0.45">
      <c r="D13818" s="47"/>
    </row>
    <row r="13819" spans="4:4" x14ac:dyDescent="0.45">
      <c r="D13819" s="47"/>
    </row>
    <row r="13820" spans="4:4" x14ac:dyDescent="0.45">
      <c r="D13820" s="47"/>
    </row>
    <row r="13821" spans="4:4" x14ac:dyDescent="0.45">
      <c r="D13821" s="47"/>
    </row>
    <row r="13822" spans="4:4" x14ac:dyDescent="0.45">
      <c r="D13822" s="47"/>
    </row>
    <row r="13823" spans="4:4" x14ac:dyDescent="0.45">
      <c r="D13823" s="47"/>
    </row>
    <row r="13824" spans="4:4" x14ac:dyDescent="0.45">
      <c r="D13824" s="47"/>
    </row>
    <row r="13825" spans="4:4" x14ac:dyDescent="0.45">
      <c r="D13825" s="47"/>
    </row>
    <row r="13826" spans="4:4" x14ac:dyDescent="0.45">
      <c r="D13826" s="47"/>
    </row>
    <row r="13827" spans="4:4" x14ac:dyDescent="0.45">
      <c r="D13827" s="47"/>
    </row>
    <row r="13828" spans="4:4" x14ac:dyDescent="0.45">
      <c r="D13828" s="47"/>
    </row>
    <row r="13829" spans="4:4" x14ac:dyDescent="0.45">
      <c r="D13829" s="47"/>
    </row>
    <row r="13830" spans="4:4" x14ac:dyDescent="0.45">
      <c r="D13830" s="47"/>
    </row>
    <row r="13831" spans="4:4" x14ac:dyDescent="0.45">
      <c r="D13831" s="47"/>
    </row>
    <row r="13832" spans="4:4" x14ac:dyDescent="0.45">
      <c r="D13832" s="47"/>
    </row>
    <row r="13833" spans="4:4" x14ac:dyDescent="0.45">
      <c r="D13833" s="47"/>
    </row>
    <row r="13834" spans="4:4" x14ac:dyDescent="0.45">
      <c r="D13834" s="47"/>
    </row>
    <row r="13835" spans="4:4" x14ac:dyDescent="0.45">
      <c r="D13835" s="47"/>
    </row>
    <row r="13836" spans="4:4" x14ac:dyDescent="0.45">
      <c r="D13836" s="47"/>
    </row>
    <row r="13837" spans="4:4" x14ac:dyDescent="0.45">
      <c r="D13837" s="47"/>
    </row>
    <row r="13838" spans="4:4" x14ac:dyDescent="0.45">
      <c r="D13838" s="47"/>
    </row>
    <row r="13839" spans="4:4" x14ac:dyDescent="0.45">
      <c r="D13839" s="47"/>
    </row>
    <row r="13840" spans="4:4" x14ac:dyDescent="0.45">
      <c r="D13840" s="47"/>
    </row>
    <row r="13841" spans="4:4" x14ac:dyDescent="0.45">
      <c r="D13841" s="47"/>
    </row>
    <row r="13842" spans="4:4" x14ac:dyDescent="0.45">
      <c r="D13842" s="47"/>
    </row>
    <row r="13843" spans="4:4" x14ac:dyDescent="0.45">
      <c r="D13843" s="47"/>
    </row>
    <row r="13844" spans="4:4" x14ac:dyDescent="0.45">
      <c r="D13844" s="47"/>
    </row>
    <row r="13845" spans="4:4" x14ac:dyDescent="0.45">
      <c r="D13845" s="47"/>
    </row>
    <row r="13846" spans="4:4" x14ac:dyDescent="0.45">
      <c r="D13846" s="47"/>
    </row>
    <row r="13847" spans="4:4" x14ac:dyDescent="0.45">
      <c r="D13847" s="47"/>
    </row>
    <row r="13848" spans="4:4" x14ac:dyDescent="0.45">
      <c r="D13848" s="47"/>
    </row>
    <row r="13849" spans="4:4" x14ac:dyDescent="0.45">
      <c r="D13849" s="47"/>
    </row>
    <row r="13850" spans="4:4" x14ac:dyDescent="0.45">
      <c r="D13850" s="47"/>
    </row>
    <row r="13851" spans="4:4" x14ac:dyDescent="0.45">
      <c r="D13851" s="47"/>
    </row>
    <row r="13852" spans="4:4" x14ac:dyDescent="0.45">
      <c r="D13852" s="47"/>
    </row>
    <row r="13853" spans="4:4" x14ac:dyDescent="0.45">
      <c r="D13853" s="47"/>
    </row>
    <row r="13854" spans="4:4" x14ac:dyDescent="0.45">
      <c r="D13854" s="47"/>
    </row>
    <row r="13855" spans="4:4" x14ac:dyDescent="0.45">
      <c r="D13855" s="47"/>
    </row>
    <row r="13856" spans="4:4" x14ac:dyDescent="0.45">
      <c r="D13856" s="47"/>
    </row>
    <row r="13857" spans="4:4" x14ac:dyDescent="0.45">
      <c r="D13857" s="47"/>
    </row>
    <row r="13858" spans="4:4" x14ac:dyDescent="0.45">
      <c r="D13858" s="47"/>
    </row>
    <row r="13859" spans="4:4" x14ac:dyDescent="0.45">
      <c r="D13859" s="47"/>
    </row>
    <row r="13860" spans="4:4" x14ac:dyDescent="0.45">
      <c r="D13860" s="47"/>
    </row>
    <row r="13861" spans="4:4" x14ac:dyDescent="0.45">
      <c r="D13861" s="47"/>
    </row>
    <row r="13862" spans="4:4" x14ac:dyDescent="0.45">
      <c r="D13862" s="47"/>
    </row>
    <row r="13863" spans="4:4" x14ac:dyDescent="0.45">
      <c r="D13863" s="47"/>
    </row>
    <row r="13864" spans="4:4" x14ac:dyDescent="0.45">
      <c r="D13864" s="47"/>
    </row>
    <row r="13865" spans="4:4" x14ac:dyDescent="0.45">
      <c r="D13865" s="47"/>
    </row>
    <row r="13866" spans="4:4" x14ac:dyDescent="0.45">
      <c r="D13866" s="47"/>
    </row>
    <row r="13867" spans="4:4" x14ac:dyDescent="0.45">
      <c r="D13867" s="47"/>
    </row>
    <row r="13868" spans="4:4" x14ac:dyDescent="0.45">
      <c r="D13868" s="47"/>
    </row>
    <row r="13869" spans="4:4" x14ac:dyDescent="0.45">
      <c r="D13869" s="47"/>
    </row>
    <row r="13870" spans="4:4" x14ac:dyDescent="0.45">
      <c r="D13870" s="47"/>
    </row>
    <row r="13871" spans="4:4" x14ac:dyDescent="0.45">
      <c r="D13871" s="47"/>
    </row>
    <row r="13872" spans="4:4" x14ac:dyDescent="0.45">
      <c r="D13872" s="47"/>
    </row>
    <row r="13873" spans="4:4" x14ac:dyDescent="0.45">
      <c r="D13873" s="47"/>
    </row>
    <row r="13874" spans="4:4" x14ac:dyDescent="0.45">
      <c r="D13874" s="47"/>
    </row>
    <row r="13875" spans="4:4" x14ac:dyDescent="0.45">
      <c r="D13875" s="47"/>
    </row>
    <row r="13876" spans="4:4" x14ac:dyDescent="0.45">
      <c r="D13876" s="47"/>
    </row>
    <row r="13877" spans="4:4" x14ac:dyDescent="0.45">
      <c r="D13877" s="47"/>
    </row>
    <row r="13878" spans="4:4" x14ac:dyDescent="0.45">
      <c r="D13878" s="47"/>
    </row>
    <row r="13879" spans="4:4" x14ac:dyDescent="0.45">
      <c r="D13879" s="47"/>
    </row>
    <row r="13880" spans="4:4" x14ac:dyDescent="0.45">
      <c r="D13880" s="47"/>
    </row>
    <row r="13881" spans="4:4" x14ac:dyDescent="0.45">
      <c r="D13881" s="47"/>
    </row>
    <row r="13882" spans="4:4" x14ac:dyDescent="0.45">
      <c r="D13882" s="47"/>
    </row>
    <row r="13883" spans="4:4" x14ac:dyDescent="0.45">
      <c r="D13883" s="47"/>
    </row>
    <row r="13884" spans="4:4" x14ac:dyDescent="0.45">
      <c r="D13884" s="47"/>
    </row>
    <row r="13885" spans="4:4" x14ac:dyDescent="0.45">
      <c r="D13885" s="47"/>
    </row>
    <row r="13886" spans="4:4" x14ac:dyDescent="0.45">
      <c r="D13886" s="47"/>
    </row>
    <row r="13887" spans="4:4" x14ac:dyDescent="0.45">
      <c r="D13887" s="47"/>
    </row>
    <row r="13888" spans="4:4" x14ac:dyDescent="0.45">
      <c r="D13888" s="47"/>
    </row>
    <row r="13889" spans="4:4" x14ac:dyDescent="0.45">
      <c r="D13889" s="47"/>
    </row>
    <row r="13890" spans="4:4" x14ac:dyDescent="0.45">
      <c r="D13890" s="47"/>
    </row>
    <row r="13891" spans="4:4" x14ac:dyDescent="0.45">
      <c r="D13891" s="47"/>
    </row>
    <row r="13892" spans="4:4" x14ac:dyDescent="0.45">
      <c r="D13892" s="47"/>
    </row>
    <row r="13893" spans="4:4" x14ac:dyDescent="0.45">
      <c r="D13893" s="47"/>
    </row>
    <row r="13894" spans="4:4" x14ac:dyDescent="0.45">
      <c r="D13894" s="47"/>
    </row>
    <row r="13895" spans="4:4" x14ac:dyDescent="0.45">
      <c r="D13895" s="47"/>
    </row>
    <row r="13896" spans="4:4" x14ac:dyDescent="0.45">
      <c r="D13896" s="47"/>
    </row>
    <row r="13897" spans="4:4" x14ac:dyDescent="0.45">
      <c r="D13897" s="47"/>
    </row>
    <row r="13898" spans="4:4" x14ac:dyDescent="0.45">
      <c r="D13898" s="47"/>
    </row>
    <row r="13899" spans="4:4" x14ac:dyDescent="0.45">
      <c r="D13899" s="47"/>
    </row>
    <row r="13900" spans="4:4" x14ac:dyDescent="0.45">
      <c r="D13900" s="47"/>
    </row>
    <row r="13901" spans="4:4" x14ac:dyDescent="0.45">
      <c r="D13901" s="47"/>
    </row>
    <row r="13902" spans="4:4" x14ac:dyDescent="0.45">
      <c r="D13902" s="47"/>
    </row>
    <row r="13903" spans="4:4" x14ac:dyDescent="0.45">
      <c r="D13903" s="47"/>
    </row>
    <row r="13904" spans="4:4" x14ac:dyDescent="0.45">
      <c r="D13904" s="47"/>
    </row>
    <row r="13905" spans="4:4" x14ac:dyDescent="0.45">
      <c r="D13905" s="47"/>
    </row>
    <row r="13906" spans="4:4" x14ac:dyDescent="0.45">
      <c r="D13906" s="47"/>
    </row>
    <row r="13907" spans="4:4" x14ac:dyDescent="0.45">
      <c r="D13907" s="47"/>
    </row>
    <row r="13908" spans="4:4" x14ac:dyDescent="0.45">
      <c r="D13908" s="47"/>
    </row>
    <row r="13909" spans="4:4" x14ac:dyDescent="0.45">
      <c r="D13909" s="47"/>
    </row>
    <row r="13910" spans="4:4" x14ac:dyDescent="0.45">
      <c r="D13910" s="47"/>
    </row>
    <row r="13911" spans="4:4" x14ac:dyDescent="0.45">
      <c r="D13911" s="47"/>
    </row>
    <row r="13912" spans="4:4" x14ac:dyDescent="0.45">
      <c r="D13912" s="47"/>
    </row>
    <row r="13913" spans="4:4" x14ac:dyDescent="0.45">
      <c r="D13913" s="47"/>
    </row>
    <row r="13914" spans="4:4" x14ac:dyDescent="0.45">
      <c r="D13914" s="47"/>
    </row>
    <row r="13915" spans="4:4" x14ac:dyDescent="0.45">
      <c r="D13915" s="47"/>
    </row>
    <row r="13916" spans="4:4" x14ac:dyDescent="0.45">
      <c r="D13916" s="47"/>
    </row>
    <row r="13917" spans="4:4" x14ac:dyDescent="0.45">
      <c r="D13917" s="47"/>
    </row>
    <row r="13918" spans="4:4" x14ac:dyDescent="0.45">
      <c r="D13918" s="47"/>
    </row>
    <row r="13919" spans="4:4" x14ac:dyDescent="0.45">
      <c r="D13919" s="47"/>
    </row>
    <row r="13920" spans="4:4" x14ac:dyDescent="0.45">
      <c r="D13920" s="47"/>
    </row>
    <row r="13921" spans="4:4" x14ac:dyDescent="0.45">
      <c r="D13921" s="47"/>
    </row>
    <row r="13922" spans="4:4" x14ac:dyDescent="0.45">
      <c r="D13922" s="47"/>
    </row>
    <row r="13923" spans="4:4" x14ac:dyDescent="0.45">
      <c r="D13923" s="47"/>
    </row>
    <row r="13924" spans="4:4" x14ac:dyDescent="0.45">
      <c r="D13924" s="47"/>
    </row>
    <row r="13925" spans="4:4" x14ac:dyDescent="0.45">
      <c r="D13925" s="47"/>
    </row>
    <row r="13926" spans="4:4" x14ac:dyDescent="0.45">
      <c r="D13926" s="47"/>
    </row>
    <row r="13927" spans="4:4" x14ac:dyDescent="0.45">
      <c r="D13927" s="47"/>
    </row>
    <row r="13928" spans="4:4" x14ac:dyDescent="0.45">
      <c r="D13928" s="47"/>
    </row>
    <row r="13929" spans="4:4" x14ac:dyDescent="0.45">
      <c r="D13929" s="47"/>
    </row>
    <row r="13930" spans="4:4" x14ac:dyDescent="0.45">
      <c r="D13930" s="47"/>
    </row>
    <row r="13931" spans="4:4" x14ac:dyDescent="0.45">
      <c r="D13931" s="47"/>
    </row>
    <row r="13932" spans="4:4" x14ac:dyDescent="0.45">
      <c r="D13932" s="47"/>
    </row>
    <row r="13933" spans="4:4" x14ac:dyDescent="0.45">
      <c r="D13933" s="47"/>
    </row>
    <row r="13934" spans="4:4" x14ac:dyDescent="0.45">
      <c r="D13934" s="47"/>
    </row>
    <row r="13935" spans="4:4" x14ac:dyDescent="0.45">
      <c r="D13935" s="47"/>
    </row>
    <row r="13936" spans="4:4" x14ac:dyDescent="0.45">
      <c r="D13936" s="47"/>
    </row>
    <row r="13937" spans="4:4" x14ac:dyDescent="0.45">
      <c r="D13937" s="47"/>
    </row>
    <row r="13938" spans="4:4" x14ac:dyDescent="0.45">
      <c r="D13938" s="47"/>
    </row>
    <row r="13939" spans="4:4" x14ac:dyDescent="0.45">
      <c r="D13939" s="47"/>
    </row>
    <row r="13940" spans="4:4" x14ac:dyDescent="0.45">
      <c r="D13940" s="47"/>
    </row>
    <row r="13941" spans="4:4" x14ac:dyDescent="0.45">
      <c r="D13941" s="47"/>
    </row>
    <row r="13942" spans="4:4" x14ac:dyDescent="0.45">
      <c r="D13942" s="47"/>
    </row>
    <row r="13943" spans="4:4" x14ac:dyDescent="0.45">
      <c r="D13943" s="47"/>
    </row>
    <row r="13944" spans="4:4" x14ac:dyDescent="0.45">
      <c r="D13944" s="47"/>
    </row>
    <row r="13945" spans="4:4" x14ac:dyDescent="0.45">
      <c r="D13945" s="47"/>
    </row>
    <row r="13946" spans="4:4" x14ac:dyDescent="0.45">
      <c r="D13946" s="47"/>
    </row>
    <row r="13947" spans="4:4" x14ac:dyDescent="0.45">
      <c r="D13947" s="47"/>
    </row>
    <row r="13948" spans="4:4" x14ac:dyDescent="0.45">
      <c r="D13948" s="47"/>
    </row>
    <row r="13949" spans="4:4" x14ac:dyDescent="0.45">
      <c r="D13949" s="47"/>
    </row>
    <row r="13950" spans="4:4" x14ac:dyDescent="0.45">
      <c r="D13950" s="47"/>
    </row>
    <row r="13951" spans="4:4" x14ac:dyDescent="0.45">
      <c r="D13951" s="47"/>
    </row>
    <row r="13952" spans="4:4" x14ac:dyDescent="0.45">
      <c r="D13952" s="47"/>
    </row>
    <row r="13953" spans="4:4" x14ac:dyDescent="0.45">
      <c r="D13953" s="47"/>
    </row>
    <row r="13954" spans="4:4" x14ac:dyDescent="0.45">
      <c r="D13954" s="47"/>
    </row>
    <row r="13955" spans="4:4" x14ac:dyDescent="0.45">
      <c r="D13955" s="47"/>
    </row>
    <row r="13956" spans="4:4" x14ac:dyDescent="0.45">
      <c r="D13956" s="47"/>
    </row>
    <row r="13957" spans="4:4" x14ac:dyDescent="0.45">
      <c r="D13957" s="47"/>
    </row>
    <row r="13958" spans="4:4" x14ac:dyDescent="0.45">
      <c r="D13958" s="47"/>
    </row>
    <row r="13959" spans="4:4" x14ac:dyDescent="0.45">
      <c r="D13959" s="47"/>
    </row>
    <row r="13960" spans="4:4" x14ac:dyDescent="0.45">
      <c r="D13960" s="47"/>
    </row>
    <row r="13961" spans="4:4" x14ac:dyDescent="0.45">
      <c r="D13961" s="47"/>
    </row>
    <row r="13962" spans="4:4" x14ac:dyDescent="0.45">
      <c r="D13962" s="47"/>
    </row>
    <row r="13963" spans="4:4" x14ac:dyDescent="0.45">
      <c r="D13963" s="47"/>
    </row>
    <row r="13964" spans="4:4" x14ac:dyDescent="0.45">
      <c r="D13964" s="47"/>
    </row>
    <row r="13965" spans="4:4" x14ac:dyDescent="0.45">
      <c r="D13965" s="47"/>
    </row>
    <row r="13966" spans="4:4" x14ac:dyDescent="0.45">
      <c r="D13966" s="47"/>
    </row>
    <row r="13967" spans="4:4" x14ac:dyDescent="0.45">
      <c r="D13967" s="47"/>
    </row>
    <row r="13968" spans="4:4" x14ac:dyDescent="0.45">
      <c r="D13968" s="47"/>
    </row>
    <row r="13969" spans="4:4" x14ac:dyDescent="0.45">
      <c r="D13969" s="47"/>
    </row>
    <row r="13970" spans="4:4" x14ac:dyDescent="0.45">
      <c r="D13970" s="47"/>
    </row>
    <row r="13971" spans="4:4" x14ac:dyDescent="0.45">
      <c r="D13971" s="47"/>
    </row>
    <row r="13972" spans="4:4" x14ac:dyDescent="0.45">
      <c r="D13972" s="47"/>
    </row>
    <row r="13973" spans="4:4" x14ac:dyDescent="0.45">
      <c r="D13973" s="47"/>
    </row>
    <row r="13974" spans="4:4" x14ac:dyDescent="0.45">
      <c r="D13974" s="47"/>
    </row>
    <row r="13975" spans="4:4" x14ac:dyDescent="0.45">
      <c r="D13975" s="47"/>
    </row>
    <row r="13976" spans="4:4" x14ac:dyDescent="0.45">
      <c r="D13976" s="47"/>
    </row>
    <row r="13977" spans="4:4" x14ac:dyDescent="0.45">
      <c r="D13977" s="47"/>
    </row>
    <row r="13978" spans="4:4" x14ac:dyDescent="0.45">
      <c r="D13978" s="47"/>
    </row>
    <row r="13979" spans="4:4" x14ac:dyDescent="0.45">
      <c r="D13979" s="47"/>
    </row>
    <row r="13980" spans="4:4" x14ac:dyDescent="0.45">
      <c r="D13980" s="47"/>
    </row>
    <row r="13981" spans="4:4" x14ac:dyDescent="0.45">
      <c r="D13981" s="47"/>
    </row>
    <row r="13982" spans="4:4" x14ac:dyDescent="0.45">
      <c r="D13982" s="47"/>
    </row>
    <row r="13983" spans="4:4" x14ac:dyDescent="0.45">
      <c r="D13983" s="47"/>
    </row>
    <row r="13984" spans="4:4" x14ac:dyDescent="0.45">
      <c r="D13984" s="47"/>
    </row>
    <row r="13985" spans="4:4" x14ac:dyDescent="0.45">
      <c r="D13985" s="47"/>
    </row>
    <row r="13986" spans="4:4" x14ac:dyDescent="0.45">
      <c r="D13986" s="47"/>
    </row>
    <row r="13987" spans="4:4" x14ac:dyDescent="0.45">
      <c r="D13987" s="47"/>
    </row>
    <row r="13988" spans="4:4" x14ac:dyDescent="0.45">
      <c r="D13988" s="47"/>
    </row>
    <row r="13989" spans="4:4" x14ac:dyDescent="0.45">
      <c r="D13989" s="47"/>
    </row>
    <row r="13990" spans="4:4" x14ac:dyDescent="0.45">
      <c r="D13990" s="47"/>
    </row>
    <row r="13991" spans="4:4" x14ac:dyDescent="0.45">
      <c r="D13991" s="47"/>
    </row>
    <row r="13992" spans="4:4" x14ac:dyDescent="0.45">
      <c r="D13992" s="47"/>
    </row>
    <row r="13993" spans="4:4" x14ac:dyDescent="0.45">
      <c r="D13993" s="47"/>
    </row>
    <row r="13994" spans="4:4" x14ac:dyDescent="0.45">
      <c r="D13994" s="47"/>
    </row>
    <row r="13995" spans="4:4" x14ac:dyDescent="0.45">
      <c r="D13995" s="47"/>
    </row>
    <row r="13996" spans="4:4" x14ac:dyDescent="0.45">
      <c r="D13996" s="47"/>
    </row>
    <row r="13997" spans="4:4" x14ac:dyDescent="0.45">
      <c r="D13997" s="47"/>
    </row>
    <row r="13998" spans="4:4" x14ac:dyDescent="0.45">
      <c r="D13998" s="47"/>
    </row>
    <row r="13999" spans="4:4" x14ac:dyDescent="0.45">
      <c r="D13999" s="47"/>
    </row>
    <row r="14000" spans="4:4" x14ac:dyDescent="0.45">
      <c r="D14000" s="47"/>
    </row>
    <row r="14001" spans="4:4" x14ac:dyDescent="0.45">
      <c r="D14001" s="47"/>
    </row>
    <row r="14002" spans="4:4" x14ac:dyDescent="0.45">
      <c r="D14002" s="47"/>
    </row>
    <row r="14003" spans="4:4" x14ac:dyDescent="0.45">
      <c r="D14003" s="47"/>
    </row>
    <row r="14004" spans="4:4" x14ac:dyDescent="0.45">
      <c r="D14004" s="47"/>
    </row>
    <row r="14005" spans="4:4" x14ac:dyDescent="0.45">
      <c r="D14005" s="47"/>
    </row>
    <row r="14006" spans="4:4" x14ac:dyDescent="0.45">
      <c r="D14006" s="47"/>
    </row>
    <row r="14007" spans="4:4" x14ac:dyDescent="0.45">
      <c r="D14007" s="47"/>
    </row>
    <row r="14008" spans="4:4" x14ac:dyDescent="0.45">
      <c r="D14008" s="47"/>
    </row>
    <row r="14009" spans="4:4" x14ac:dyDescent="0.45">
      <c r="D14009" s="47"/>
    </row>
    <row r="14010" spans="4:4" x14ac:dyDescent="0.45">
      <c r="D14010" s="47"/>
    </row>
    <row r="14011" spans="4:4" x14ac:dyDescent="0.45">
      <c r="D14011" s="47"/>
    </row>
    <row r="14012" spans="4:4" x14ac:dyDescent="0.45">
      <c r="D14012" s="47"/>
    </row>
    <row r="14013" spans="4:4" x14ac:dyDescent="0.45">
      <c r="D14013" s="47"/>
    </row>
    <row r="14014" spans="4:4" x14ac:dyDescent="0.45">
      <c r="D14014" s="47"/>
    </row>
    <row r="14015" spans="4:4" x14ac:dyDescent="0.45">
      <c r="D14015" s="47"/>
    </row>
    <row r="14016" spans="4:4" x14ac:dyDescent="0.45">
      <c r="D14016" s="47"/>
    </row>
    <row r="14017" spans="4:4" x14ac:dyDescent="0.45">
      <c r="D14017" s="47"/>
    </row>
    <row r="14018" spans="4:4" x14ac:dyDescent="0.45">
      <c r="D14018" s="47"/>
    </row>
    <row r="14019" spans="4:4" x14ac:dyDescent="0.45">
      <c r="D14019" s="47"/>
    </row>
    <row r="14020" spans="4:4" x14ac:dyDescent="0.45">
      <c r="D14020" s="47"/>
    </row>
    <row r="14021" spans="4:4" x14ac:dyDescent="0.45">
      <c r="D14021" s="47"/>
    </row>
    <row r="14022" spans="4:4" x14ac:dyDescent="0.45">
      <c r="D14022" s="47"/>
    </row>
    <row r="14023" spans="4:4" x14ac:dyDescent="0.45">
      <c r="D14023" s="47"/>
    </row>
    <row r="14024" spans="4:4" x14ac:dyDescent="0.45">
      <c r="D14024" s="47"/>
    </row>
    <row r="14025" spans="4:4" x14ac:dyDescent="0.45">
      <c r="D14025" s="47"/>
    </row>
    <row r="14026" spans="4:4" x14ac:dyDescent="0.45">
      <c r="D14026" s="47"/>
    </row>
    <row r="14027" spans="4:4" x14ac:dyDescent="0.45">
      <c r="D14027" s="47"/>
    </row>
    <row r="14028" spans="4:4" x14ac:dyDescent="0.45">
      <c r="D14028" s="47"/>
    </row>
    <row r="14029" spans="4:4" x14ac:dyDescent="0.45">
      <c r="D14029" s="47"/>
    </row>
    <row r="14030" spans="4:4" x14ac:dyDescent="0.45">
      <c r="D14030" s="47"/>
    </row>
    <row r="14031" spans="4:4" x14ac:dyDescent="0.45">
      <c r="D14031" s="47"/>
    </row>
    <row r="14032" spans="4:4" x14ac:dyDescent="0.45">
      <c r="D14032" s="47"/>
    </row>
    <row r="14033" spans="4:4" x14ac:dyDescent="0.45">
      <c r="D14033" s="47"/>
    </row>
    <row r="14034" spans="4:4" x14ac:dyDescent="0.45">
      <c r="D14034" s="47"/>
    </row>
    <row r="14035" spans="4:4" x14ac:dyDescent="0.45">
      <c r="D14035" s="47"/>
    </row>
    <row r="14036" spans="4:4" x14ac:dyDescent="0.45">
      <c r="D14036" s="47"/>
    </row>
    <row r="14037" spans="4:4" x14ac:dyDescent="0.45">
      <c r="D14037" s="47"/>
    </row>
    <row r="14038" spans="4:4" x14ac:dyDescent="0.45">
      <c r="D14038" s="47"/>
    </row>
    <row r="14039" spans="4:4" x14ac:dyDescent="0.45">
      <c r="D14039" s="47"/>
    </row>
    <row r="14040" spans="4:4" x14ac:dyDescent="0.45">
      <c r="D14040" s="47"/>
    </row>
    <row r="14041" spans="4:4" x14ac:dyDescent="0.45">
      <c r="D14041" s="47"/>
    </row>
    <row r="14042" spans="4:4" x14ac:dyDescent="0.45">
      <c r="D14042" s="47"/>
    </row>
    <row r="14043" spans="4:4" x14ac:dyDescent="0.45">
      <c r="D14043" s="47"/>
    </row>
    <row r="14044" spans="4:4" x14ac:dyDescent="0.45">
      <c r="D14044" s="47"/>
    </row>
    <row r="14045" spans="4:4" x14ac:dyDescent="0.45">
      <c r="D14045" s="47"/>
    </row>
    <row r="14046" spans="4:4" x14ac:dyDescent="0.45">
      <c r="D14046" s="47"/>
    </row>
    <row r="14047" spans="4:4" x14ac:dyDescent="0.45">
      <c r="D14047" s="47"/>
    </row>
    <row r="14048" spans="4:4" x14ac:dyDescent="0.45">
      <c r="D14048" s="47"/>
    </row>
    <row r="14049" spans="4:4" x14ac:dyDescent="0.45">
      <c r="D14049" s="47"/>
    </row>
    <row r="14050" spans="4:4" x14ac:dyDescent="0.45">
      <c r="D14050" s="47"/>
    </row>
    <row r="14051" spans="4:4" x14ac:dyDescent="0.45">
      <c r="D14051" s="47"/>
    </row>
    <row r="14052" spans="4:4" x14ac:dyDescent="0.45">
      <c r="D14052" s="47"/>
    </row>
    <row r="14053" spans="4:4" x14ac:dyDescent="0.45">
      <c r="D14053" s="47"/>
    </row>
    <row r="14054" spans="4:4" x14ac:dyDescent="0.45">
      <c r="D14054" s="47"/>
    </row>
    <row r="14055" spans="4:4" x14ac:dyDescent="0.45">
      <c r="D14055" s="47"/>
    </row>
    <row r="14056" spans="4:4" x14ac:dyDescent="0.45">
      <c r="D14056" s="47"/>
    </row>
    <row r="14057" spans="4:4" x14ac:dyDescent="0.45">
      <c r="D14057" s="47"/>
    </row>
    <row r="14058" spans="4:4" x14ac:dyDescent="0.45">
      <c r="D14058" s="47"/>
    </row>
    <row r="14059" spans="4:4" x14ac:dyDescent="0.45">
      <c r="D14059" s="47"/>
    </row>
    <row r="14060" spans="4:4" x14ac:dyDescent="0.45">
      <c r="D14060" s="47"/>
    </row>
    <row r="14061" spans="4:4" x14ac:dyDescent="0.45">
      <c r="D14061" s="47"/>
    </row>
    <row r="14062" spans="4:4" x14ac:dyDescent="0.45">
      <c r="D14062" s="47"/>
    </row>
    <row r="14063" spans="4:4" x14ac:dyDescent="0.45">
      <c r="D14063" s="47"/>
    </row>
    <row r="14064" spans="4:4" x14ac:dyDescent="0.45">
      <c r="D14064" s="47"/>
    </row>
    <row r="14065" spans="4:4" x14ac:dyDescent="0.45">
      <c r="D14065" s="47"/>
    </row>
    <row r="14066" spans="4:4" x14ac:dyDescent="0.45">
      <c r="D14066" s="47"/>
    </row>
    <row r="14067" spans="4:4" x14ac:dyDescent="0.45">
      <c r="D14067" s="47"/>
    </row>
    <row r="14068" spans="4:4" x14ac:dyDescent="0.45">
      <c r="D14068" s="47"/>
    </row>
    <row r="14069" spans="4:4" x14ac:dyDescent="0.45">
      <c r="D14069" s="47"/>
    </row>
    <row r="14070" spans="4:4" x14ac:dyDescent="0.45">
      <c r="D14070" s="47"/>
    </row>
    <row r="14071" spans="4:4" x14ac:dyDescent="0.45">
      <c r="D14071" s="47"/>
    </row>
    <row r="14072" spans="4:4" x14ac:dyDescent="0.45">
      <c r="D14072" s="47"/>
    </row>
    <row r="14073" spans="4:4" x14ac:dyDescent="0.45">
      <c r="D14073" s="47"/>
    </row>
    <row r="14074" spans="4:4" x14ac:dyDescent="0.45">
      <c r="D14074" s="47"/>
    </row>
    <row r="14075" spans="4:4" x14ac:dyDescent="0.45">
      <c r="D14075" s="47"/>
    </row>
    <row r="14076" spans="4:4" x14ac:dyDescent="0.45">
      <c r="D14076" s="47"/>
    </row>
    <row r="14077" spans="4:4" x14ac:dyDescent="0.45">
      <c r="D14077" s="47"/>
    </row>
    <row r="14078" spans="4:4" x14ac:dyDescent="0.45">
      <c r="D14078" s="47"/>
    </row>
    <row r="14079" spans="4:4" x14ac:dyDescent="0.45">
      <c r="D14079" s="47"/>
    </row>
    <row r="14080" spans="4:4" x14ac:dyDescent="0.45">
      <c r="D14080" s="47"/>
    </row>
    <row r="14081" spans="4:4" x14ac:dyDescent="0.45">
      <c r="D14081" s="47"/>
    </row>
    <row r="14082" spans="4:4" x14ac:dyDescent="0.45">
      <c r="D14082" s="47"/>
    </row>
    <row r="14083" spans="4:4" x14ac:dyDescent="0.45">
      <c r="D14083" s="47"/>
    </row>
    <row r="14084" spans="4:4" x14ac:dyDescent="0.45">
      <c r="D14084" s="47"/>
    </row>
    <row r="14085" spans="4:4" x14ac:dyDescent="0.45">
      <c r="D14085" s="47"/>
    </row>
    <row r="14086" spans="4:4" x14ac:dyDescent="0.45">
      <c r="D14086" s="47"/>
    </row>
    <row r="14087" spans="4:4" x14ac:dyDescent="0.45">
      <c r="D14087" s="47"/>
    </row>
    <row r="14088" spans="4:4" x14ac:dyDescent="0.45">
      <c r="D14088" s="47"/>
    </row>
    <row r="14089" spans="4:4" x14ac:dyDescent="0.45">
      <c r="D14089" s="47"/>
    </row>
    <row r="14090" spans="4:4" x14ac:dyDescent="0.45">
      <c r="D14090" s="47"/>
    </row>
    <row r="14091" spans="4:4" x14ac:dyDescent="0.45">
      <c r="D14091" s="47"/>
    </row>
    <row r="14092" spans="4:4" x14ac:dyDescent="0.45">
      <c r="D14092" s="47"/>
    </row>
    <row r="14093" spans="4:4" x14ac:dyDescent="0.45">
      <c r="D14093" s="47"/>
    </row>
    <row r="14094" spans="4:4" x14ac:dyDescent="0.45">
      <c r="D14094" s="47"/>
    </row>
    <row r="14095" spans="4:4" x14ac:dyDescent="0.45">
      <c r="D14095" s="47"/>
    </row>
    <row r="14096" spans="4:4" x14ac:dyDescent="0.45">
      <c r="D14096" s="47"/>
    </row>
    <row r="14097" spans="4:4" x14ac:dyDescent="0.45">
      <c r="D14097" s="47"/>
    </row>
    <row r="14098" spans="4:4" x14ac:dyDescent="0.45">
      <c r="D14098" s="47"/>
    </row>
    <row r="14099" spans="4:4" x14ac:dyDescent="0.45">
      <c r="D14099" s="47"/>
    </row>
    <row r="14100" spans="4:4" x14ac:dyDescent="0.45">
      <c r="D14100" s="47"/>
    </row>
    <row r="14101" spans="4:4" x14ac:dyDescent="0.45">
      <c r="D14101" s="47"/>
    </row>
    <row r="14102" spans="4:4" x14ac:dyDescent="0.45">
      <c r="D14102" s="47"/>
    </row>
    <row r="14103" spans="4:4" x14ac:dyDescent="0.45">
      <c r="D14103" s="47"/>
    </row>
    <row r="14104" spans="4:4" x14ac:dyDescent="0.45">
      <c r="D14104" s="47"/>
    </row>
    <row r="14105" spans="4:4" x14ac:dyDescent="0.45">
      <c r="D14105" s="47"/>
    </row>
    <row r="14106" spans="4:4" x14ac:dyDescent="0.45">
      <c r="D14106" s="47"/>
    </row>
    <row r="14107" spans="4:4" x14ac:dyDescent="0.45">
      <c r="D14107" s="47"/>
    </row>
    <row r="14108" spans="4:4" x14ac:dyDescent="0.45">
      <c r="D14108" s="47"/>
    </row>
    <row r="14109" spans="4:4" x14ac:dyDescent="0.45">
      <c r="D14109" s="47"/>
    </row>
    <row r="14110" spans="4:4" x14ac:dyDescent="0.45">
      <c r="D14110" s="47"/>
    </row>
    <row r="14111" spans="4:4" x14ac:dyDescent="0.45">
      <c r="D14111" s="47"/>
    </row>
    <row r="14112" spans="4:4" x14ac:dyDescent="0.45">
      <c r="D14112" s="47"/>
    </row>
    <row r="14113" spans="4:4" x14ac:dyDescent="0.45">
      <c r="D14113" s="47"/>
    </row>
    <row r="14114" spans="4:4" x14ac:dyDescent="0.45">
      <c r="D14114" s="47"/>
    </row>
    <row r="14115" spans="4:4" x14ac:dyDescent="0.45">
      <c r="D14115" s="47"/>
    </row>
    <row r="14116" spans="4:4" x14ac:dyDescent="0.45">
      <c r="D14116" s="47"/>
    </row>
    <row r="14117" spans="4:4" x14ac:dyDescent="0.45">
      <c r="D14117" s="47"/>
    </row>
    <row r="14118" spans="4:4" x14ac:dyDescent="0.45">
      <c r="D14118" s="47"/>
    </row>
    <row r="14119" spans="4:4" x14ac:dyDescent="0.45">
      <c r="D14119" s="47"/>
    </row>
    <row r="14120" spans="4:4" x14ac:dyDescent="0.45">
      <c r="D14120" s="47"/>
    </row>
    <row r="14121" spans="4:4" x14ac:dyDescent="0.45">
      <c r="D14121" s="47"/>
    </row>
    <row r="14122" spans="4:4" x14ac:dyDescent="0.45">
      <c r="D14122" s="47"/>
    </row>
    <row r="14123" spans="4:4" x14ac:dyDescent="0.45">
      <c r="D14123" s="47"/>
    </row>
    <row r="14124" spans="4:4" x14ac:dyDescent="0.45">
      <c r="D14124" s="47"/>
    </row>
    <row r="14125" spans="4:4" x14ac:dyDescent="0.45">
      <c r="D14125" s="47"/>
    </row>
    <row r="14126" spans="4:4" x14ac:dyDescent="0.45">
      <c r="D14126" s="47"/>
    </row>
    <row r="14127" spans="4:4" x14ac:dyDescent="0.45">
      <c r="D14127" s="47"/>
    </row>
    <row r="14128" spans="4:4" x14ac:dyDescent="0.45">
      <c r="D14128" s="47"/>
    </row>
    <row r="14129" spans="4:4" x14ac:dyDescent="0.45">
      <c r="D14129" s="47"/>
    </row>
    <row r="14130" spans="4:4" x14ac:dyDescent="0.45">
      <c r="D14130" s="47"/>
    </row>
    <row r="14131" spans="4:4" x14ac:dyDescent="0.45">
      <c r="D14131" s="47"/>
    </row>
    <row r="14132" spans="4:4" x14ac:dyDescent="0.45">
      <c r="D14132" s="47"/>
    </row>
    <row r="14133" spans="4:4" x14ac:dyDescent="0.45">
      <c r="D14133" s="47"/>
    </row>
    <row r="14134" spans="4:4" x14ac:dyDescent="0.45">
      <c r="D14134" s="47"/>
    </row>
    <row r="14135" spans="4:4" x14ac:dyDescent="0.45">
      <c r="D14135" s="47"/>
    </row>
    <row r="14136" spans="4:4" x14ac:dyDescent="0.45">
      <c r="D14136" s="47"/>
    </row>
    <row r="14137" spans="4:4" x14ac:dyDescent="0.45">
      <c r="D14137" s="47"/>
    </row>
    <row r="14138" spans="4:4" x14ac:dyDescent="0.45">
      <c r="D14138" s="47"/>
    </row>
    <row r="14139" spans="4:4" x14ac:dyDescent="0.45">
      <c r="D14139" s="47"/>
    </row>
    <row r="14140" spans="4:4" x14ac:dyDescent="0.45">
      <c r="D14140" s="47"/>
    </row>
    <row r="14141" spans="4:4" x14ac:dyDescent="0.45">
      <c r="D14141" s="47"/>
    </row>
    <row r="14142" spans="4:4" x14ac:dyDescent="0.45">
      <c r="D14142" s="47"/>
    </row>
    <row r="14143" spans="4:4" x14ac:dyDescent="0.45">
      <c r="D14143" s="47"/>
    </row>
    <row r="14144" spans="4:4" x14ac:dyDescent="0.45">
      <c r="D14144" s="47"/>
    </row>
    <row r="14145" spans="4:4" x14ac:dyDescent="0.45">
      <c r="D14145" s="47"/>
    </row>
    <row r="14146" spans="4:4" x14ac:dyDescent="0.45">
      <c r="D14146" s="47"/>
    </row>
    <row r="14147" spans="4:4" x14ac:dyDescent="0.45">
      <c r="D14147" s="47"/>
    </row>
    <row r="14148" spans="4:4" x14ac:dyDescent="0.45">
      <c r="D14148" s="47"/>
    </row>
    <row r="14149" spans="4:4" x14ac:dyDescent="0.45">
      <c r="D14149" s="47"/>
    </row>
    <row r="14150" spans="4:4" x14ac:dyDescent="0.45">
      <c r="D14150" s="47"/>
    </row>
    <row r="14151" spans="4:4" x14ac:dyDescent="0.45">
      <c r="D14151" s="47"/>
    </row>
    <row r="14152" spans="4:4" x14ac:dyDescent="0.45">
      <c r="D14152" s="47"/>
    </row>
    <row r="14153" spans="4:4" x14ac:dyDescent="0.45">
      <c r="D14153" s="47"/>
    </row>
    <row r="14154" spans="4:4" x14ac:dyDescent="0.45">
      <c r="D14154" s="47"/>
    </row>
    <row r="14155" spans="4:4" x14ac:dyDescent="0.45">
      <c r="D14155" s="47"/>
    </row>
    <row r="14156" spans="4:4" x14ac:dyDescent="0.45">
      <c r="D14156" s="47"/>
    </row>
    <row r="14157" spans="4:4" x14ac:dyDescent="0.45">
      <c r="D14157" s="47"/>
    </row>
    <row r="14158" spans="4:4" x14ac:dyDescent="0.45">
      <c r="D14158" s="47"/>
    </row>
    <row r="14159" spans="4:4" x14ac:dyDescent="0.45">
      <c r="D14159" s="47"/>
    </row>
    <row r="14160" spans="4:4" x14ac:dyDescent="0.45">
      <c r="D14160" s="47"/>
    </row>
    <row r="14161" spans="4:4" x14ac:dyDescent="0.45">
      <c r="D14161" s="47"/>
    </row>
    <row r="14162" spans="4:4" x14ac:dyDescent="0.45">
      <c r="D14162" s="47"/>
    </row>
    <row r="14163" spans="4:4" x14ac:dyDescent="0.45">
      <c r="D14163" s="47"/>
    </row>
    <row r="14164" spans="4:4" x14ac:dyDescent="0.45">
      <c r="D14164" s="47"/>
    </row>
    <row r="14165" spans="4:4" x14ac:dyDescent="0.45">
      <c r="D14165" s="47"/>
    </row>
    <row r="14166" spans="4:4" x14ac:dyDescent="0.45">
      <c r="D14166" s="47"/>
    </row>
    <row r="14167" spans="4:4" x14ac:dyDescent="0.45">
      <c r="D14167" s="47"/>
    </row>
    <row r="14168" spans="4:4" x14ac:dyDescent="0.45">
      <c r="D14168" s="47"/>
    </row>
    <row r="14169" spans="4:4" x14ac:dyDescent="0.45">
      <c r="D14169" s="47"/>
    </row>
    <row r="14170" spans="4:4" x14ac:dyDescent="0.45">
      <c r="D14170" s="47"/>
    </row>
    <row r="14171" spans="4:4" x14ac:dyDescent="0.45">
      <c r="D14171" s="47"/>
    </row>
    <row r="14172" spans="4:4" x14ac:dyDescent="0.45">
      <c r="D14172" s="47"/>
    </row>
    <row r="14173" spans="4:4" x14ac:dyDescent="0.45">
      <c r="D14173" s="47"/>
    </row>
    <row r="14174" spans="4:4" x14ac:dyDescent="0.45">
      <c r="D14174" s="47"/>
    </row>
    <row r="14175" spans="4:4" x14ac:dyDescent="0.45">
      <c r="D14175" s="47"/>
    </row>
    <row r="14176" spans="4:4" x14ac:dyDescent="0.45">
      <c r="D14176" s="47"/>
    </row>
    <row r="14177" spans="4:4" x14ac:dyDescent="0.45">
      <c r="D14177" s="47"/>
    </row>
    <row r="14178" spans="4:4" x14ac:dyDescent="0.45">
      <c r="D14178" s="47"/>
    </row>
    <row r="14179" spans="4:4" x14ac:dyDescent="0.45">
      <c r="D14179" s="47"/>
    </row>
    <row r="14180" spans="4:4" x14ac:dyDescent="0.45">
      <c r="D14180" s="47"/>
    </row>
    <row r="14181" spans="4:4" x14ac:dyDescent="0.45">
      <c r="D14181" s="47"/>
    </row>
    <row r="14182" spans="4:4" x14ac:dyDescent="0.45">
      <c r="D14182" s="47"/>
    </row>
    <row r="14183" spans="4:4" x14ac:dyDescent="0.45">
      <c r="D14183" s="47"/>
    </row>
    <row r="14184" spans="4:4" x14ac:dyDescent="0.45">
      <c r="D14184" s="47"/>
    </row>
    <row r="14185" spans="4:4" x14ac:dyDescent="0.45">
      <c r="D14185" s="47"/>
    </row>
    <row r="14186" spans="4:4" x14ac:dyDescent="0.45">
      <c r="D14186" s="47"/>
    </row>
    <row r="14187" spans="4:4" x14ac:dyDescent="0.45">
      <c r="D14187" s="47"/>
    </row>
    <row r="14188" spans="4:4" x14ac:dyDescent="0.45">
      <c r="D14188" s="47"/>
    </row>
    <row r="14189" spans="4:4" x14ac:dyDescent="0.45">
      <c r="D14189" s="47"/>
    </row>
    <row r="14190" spans="4:4" x14ac:dyDescent="0.45">
      <c r="D14190" s="47"/>
    </row>
    <row r="14191" spans="4:4" x14ac:dyDescent="0.45">
      <c r="D14191" s="47"/>
    </row>
    <row r="14192" spans="4:4" x14ac:dyDescent="0.45">
      <c r="D14192" s="47"/>
    </row>
    <row r="14193" spans="4:4" x14ac:dyDescent="0.45">
      <c r="D14193" s="47"/>
    </row>
    <row r="14194" spans="4:4" x14ac:dyDescent="0.45">
      <c r="D14194" s="47"/>
    </row>
    <row r="14195" spans="4:4" x14ac:dyDescent="0.45">
      <c r="D14195" s="47"/>
    </row>
    <row r="14196" spans="4:4" x14ac:dyDescent="0.45">
      <c r="D14196" s="47"/>
    </row>
    <row r="14197" spans="4:4" x14ac:dyDescent="0.45">
      <c r="D14197" s="47"/>
    </row>
    <row r="14198" spans="4:4" x14ac:dyDescent="0.45">
      <c r="D14198" s="47"/>
    </row>
    <row r="14199" spans="4:4" x14ac:dyDescent="0.45">
      <c r="D14199" s="47"/>
    </row>
    <row r="14200" spans="4:4" x14ac:dyDescent="0.45">
      <c r="D14200" s="47"/>
    </row>
    <row r="14201" spans="4:4" x14ac:dyDescent="0.45">
      <c r="D14201" s="47"/>
    </row>
    <row r="14202" spans="4:4" x14ac:dyDescent="0.45">
      <c r="D14202" s="47"/>
    </row>
    <row r="14203" spans="4:4" x14ac:dyDescent="0.45">
      <c r="D14203" s="47"/>
    </row>
    <row r="14204" spans="4:4" x14ac:dyDescent="0.45">
      <c r="D14204" s="47"/>
    </row>
    <row r="14205" spans="4:4" x14ac:dyDescent="0.45">
      <c r="D14205" s="47"/>
    </row>
    <row r="14206" spans="4:4" x14ac:dyDescent="0.45">
      <c r="D14206" s="47"/>
    </row>
    <row r="14207" spans="4:4" x14ac:dyDescent="0.45">
      <c r="D14207" s="47"/>
    </row>
    <row r="14208" spans="4:4" x14ac:dyDescent="0.45">
      <c r="D14208" s="47"/>
    </row>
    <row r="14209" spans="4:4" x14ac:dyDescent="0.45">
      <c r="D14209" s="47"/>
    </row>
    <row r="14210" spans="4:4" x14ac:dyDescent="0.45">
      <c r="D14210" s="47"/>
    </row>
    <row r="14211" spans="4:4" x14ac:dyDescent="0.45">
      <c r="D14211" s="47"/>
    </row>
    <row r="14212" spans="4:4" x14ac:dyDescent="0.45">
      <c r="D14212" s="47"/>
    </row>
    <row r="14213" spans="4:4" x14ac:dyDescent="0.45">
      <c r="D14213" s="47"/>
    </row>
    <row r="14214" spans="4:4" x14ac:dyDescent="0.45">
      <c r="D14214" s="47"/>
    </row>
    <row r="14215" spans="4:4" x14ac:dyDescent="0.45">
      <c r="D14215" s="47"/>
    </row>
    <row r="14216" spans="4:4" x14ac:dyDescent="0.45">
      <c r="D14216" s="47"/>
    </row>
    <row r="14217" spans="4:4" x14ac:dyDescent="0.45">
      <c r="D14217" s="47"/>
    </row>
    <row r="14218" spans="4:4" x14ac:dyDescent="0.45">
      <c r="D14218" s="47"/>
    </row>
    <row r="14219" spans="4:4" x14ac:dyDescent="0.45">
      <c r="D14219" s="47"/>
    </row>
    <row r="14220" spans="4:4" x14ac:dyDescent="0.45">
      <c r="D14220" s="47"/>
    </row>
    <row r="14221" spans="4:4" x14ac:dyDescent="0.45">
      <c r="D14221" s="47"/>
    </row>
    <row r="14222" spans="4:4" x14ac:dyDescent="0.45">
      <c r="D14222" s="47"/>
    </row>
    <row r="14223" spans="4:4" x14ac:dyDescent="0.45">
      <c r="D14223" s="47"/>
    </row>
    <row r="14224" spans="4:4" x14ac:dyDescent="0.45">
      <c r="D14224" s="47"/>
    </row>
    <row r="14225" spans="4:4" x14ac:dyDescent="0.45">
      <c r="D14225" s="47"/>
    </row>
    <row r="14226" spans="4:4" x14ac:dyDescent="0.45">
      <c r="D14226" s="47"/>
    </row>
    <row r="14227" spans="4:4" x14ac:dyDescent="0.45">
      <c r="D14227" s="47"/>
    </row>
    <row r="14228" spans="4:4" x14ac:dyDescent="0.45">
      <c r="D14228" s="47"/>
    </row>
    <row r="14229" spans="4:4" x14ac:dyDescent="0.45">
      <c r="D14229" s="47"/>
    </row>
    <row r="14230" spans="4:4" x14ac:dyDescent="0.45">
      <c r="D14230" s="47"/>
    </row>
    <row r="14231" spans="4:4" x14ac:dyDescent="0.45">
      <c r="D14231" s="47"/>
    </row>
    <row r="14232" spans="4:4" x14ac:dyDescent="0.45">
      <c r="D14232" s="47"/>
    </row>
    <row r="14233" spans="4:4" x14ac:dyDescent="0.45">
      <c r="D14233" s="47"/>
    </row>
    <row r="14234" spans="4:4" x14ac:dyDescent="0.45">
      <c r="D14234" s="47"/>
    </row>
    <row r="14235" spans="4:4" x14ac:dyDescent="0.45">
      <c r="D14235" s="47"/>
    </row>
    <row r="14236" spans="4:4" x14ac:dyDescent="0.45">
      <c r="D14236" s="47"/>
    </row>
    <row r="14237" spans="4:4" x14ac:dyDescent="0.45">
      <c r="D14237" s="47"/>
    </row>
    <row r="14238" spans="4:4" x14ac:dyDescent="0.45">
      <c r="D14238" s="47"/>
    </row>
    <row r="14239" spans="4:4" x14ac:dyDescent="0.45">
      <c r="D14239" s="47"/>
    </row>
    <row r="14240" spans="4:4" x14ac:dyDescent="0.45">
      <c r="D14240" s="47"/>
    </row>
    <row r="14241" spans="4:4" x14ac:dyDescent="0.45">
      <c r="D14241" s="47"/>
    </row>
    <row r="14242" spans="4:4" x14ac:dyDescent="0.45">
      <c r="D14242" s="47"/>
    </row>
    <row r="14243" spans="4:4" x14ac:dyDescent="0.45">
      <c r="D14243" s="47"/>
    </row>
    <row r="14244" spans="4:4" x14ac:dyDescent="0.45">
      <c r="D14244" s="47"/>
    </row>
    <row r="14245" spans="4:4" x14ac:dyDescent="0.45">
      <c r="D14245" s="47"/>
    </row>
    <row r="14246" spans="4:4" x14ac:dyDescent="0.45">
      <c r="D14246" s="47"/>
    </row>
    <row r="14247" spans="4:4" x14ac:dyDescent="0.45">
      <c r="D14247" s="47"/>
    </row>
    <row r="14248" spans="4:4" x14ac:dyDescent="0.45">
      <c r="D14248" s="47"/>
    </row>
    <row r="14249" spans="4:4" x14ac:dyDescent="0.45">
      <c r="D14249" s="47"/>
    </row>
    <row r="14250" spans="4:4" x14ac:dyDescent="0.45">
      <c r="D14250" s="47"/>
    </row>
    <row r="14251" spans="4:4" x14ac:dyDescent="0.45">
      <c r="D14251" s="47"/>
    </row>
    <row r="14252" spans="4:4" x14ac:dyDescent="0.45">
      <c r="D14252" s="47"/>
    </row>
    <row r="14253" spans="4:4" x14ac:dyDescent="0.45">
      <c r="D14253" s="47"/>
    </row>
    <row r="14254" spans="4:4" x14ac:dyDescent="0.45">
      <c r="D14254" s="47"/>
    </row>
    <row r="14255" spans="4:4" x14ac:dyDescent="0.45">
      <c r="D14255" s="47"/>
    </row>
    <row r="14256" spans="4:4" x14ac:dyDescent="0.45">
      <c r="D14256" s="47"/>
    </row>
    <row r="14257" spans="4:4" x14ac:dyDescent="0.45">
      <c r="D14257" s="47"/>
    </row>
    <row r="14258" spans="4:4" x14ac:dyDescent="0.45">
      <c r="D14258" s="47"/>
    </row>
    <row r="14259" spans="4:4" x14ac:dyDescent="0.45">
      <c r="D14259" s="47"/>
    </row>
    <row r="14260" spans="4:4" x14ac:dyDescent="0.45">
      <c r="D14260" s="47"/>
    </row>
    <row r="14261" spans="4:4" x14ac:dyDescent="0.45">
      <c r="D14261" s="47"/>
    </row>
    <row r="14262" spans="4:4" x14ac:dyDescent="0.45">
      <c r="D14262" s="47"/>
    </row>
    <row r="14263" spans="4:4" x14ac:dyDescent="0.45">
      <c r="D14263" s="47"/>
    </row>
    <row r="14264" spans="4:4" x14ac:dyDescent="0.45">
      <c r="D14264" s="47"/>
    </row>
    <row r="14265" spans="4:4" x14ac:dyDescent="0.45">
      <c r="D14265" s="47"/>
    </row>
    <row r="14266" spans="4:4" x14ac:dyDescent="0.45">
      <c r="D14266" s="47"/>
    </row>
    <row r="14267" spans="4:4" x14ac:dyDescent="0.45">
      <c r="D14267" s="47"/>
    </row>
    <row r="14268" spans="4:4" x14ac:dyDescent="0.45">
      <c r="D14268" s="47"/>
    </row>
    <row r="14269" spans="4:4" x14ac:dyDescent="0.45">
      <c r="D14269" s="47"/>
    </row>
    <row r="14270" spans="4:4" x14ac:dyDescent="0.45">
      <c r="D14270" s="47"/>
    </row>
    <row r="14271" spans="4:4" x14ac:dyDescent="0.45">
      <c r="D14271" s="47"/>
    </row>
    <row r="14272" spans="4:4" x14ac:dyDescent="0.45">
      <c r="D14272" s="47"/>
    </row>
    <row r="14273" spans="4:4" x14ac:dyDescent="0.45">
      <c r="D14273" s="47"/>
    </row>
    <row r="14274" spans="4:4" x14ac:dyDescent="0.45">
      <c r="D14274" s="47"/>
    </row>
    <row r="14275" spans="4:4" x14ac:dyDescent="0.45">
      <c r="D14275" s="47"/>
    </row>
    <row r="14276" spans="4:4" x14ac:dyDescent="0.45">
      <c r="D14276" s="47"/>
    </row>
    <row r="14277" spans="4:4" x14ac:dyDescent="0.45">
      <c r="D14277" s="47"/>
    </row>
    <row r="14278" spans="4:4" x14ac:dyDescent="0.45">
      <c r="D14278" s="47"/>
    </row>
    <row r="14279" spans="4:4" x14ac:dyDescent="0.45">
      <c r="D14279" s="47"/>
    </row>
    <row r="14280" spans="4:4" x14ac:dyDescent="0.45">
      <c r="D14280" s="47"/>
    </row>
    <row r="14281" spans="4:4" x14ac:dyDescent="0.45">
      <c r="D14281" s="47"/>
    </row>
    <row r="14282" spans="4:4" x14ac:dyDescent="0.45">
      <c r="D14282" s="47"/>
    </row>
    <row r="14283" spans="4:4" x14ac:dyDescent="0.45">
      <c r="D14283" s="47"/>
    </row>
    <row r="14284" spans="4:4" x14ac:dyDescent="0.45">
      <c r="D14284" s="47"/>
    </row>
    <row r="14285" spans="4:4" x14ac:dyDescent="0.45">
      <c r="D14285" s="47"/>
    </row>
    <row r="14286" spans="4:4" x14ac:dyDescent="0.45">
      <c r="D14286" s="47"/>
    </row>
    <row r="14287" spans="4:4" x14ac:dyDescent="0.45">
      <c r="D14287" s="47"/>
    </row>
    <row r="14288" spans="4:4" x14ac:dyDescent="0.45">
      <c r="D14288" s="47"/>
    </row>
    <row r="14289" spans="4:4" x14ac:dyDescent="0.45">
      <c r="D14289" s="47"/>
    </row>
    <row r="14290" spans="4:4" x14ac:dyDescent="0.45">
      <c r="D14290" s="47"/>
    </row>
    <row r="14291" spans="4:4" x14ac:dyDescent="0.45">
      <c r="D14291" s="47"/>
    </row>
    <row r="14292" spans="4:4" x14ac:dyDescent="0.45">
      <c r="D14292" s="47"/>
    </row>
    <row r="14293" spans="4:4" x14ac:dyDescent="0.45">
      <c r="D14293" s="47"/>
    </row>
    <row r="14294" spans="4:4" x14ac:dyDescent="0.45">
      <c r="D14294" s="47"/>
    </row>
    <row r="14295" spans="4:4" x14ac:dyDescent="0.45">
      <c r="D14295" s="47"/>
    </row>
    <row r="14296" spans="4:4" x14ac:dyDescent="0.45">
      <c r="D14296" s="47"/>
    </row>
    <row r="14297" spans="4:4" x14ac:dyDescent="0.45">
      <c r="D14297" s="47"/>
    </row>
    <row r="14298" spans="4:4" x14ac:dyDescent="0.45">
      <c r="D14298" s="47"/>
    </row>
    <row r="14299" spans="4:4" x14ac:dyDescent="0.45">
      <c r="D14299" s="47"/>
    </row>
    <row r="14300" spans="4:4" x14ac:dyDescent="0.45">
      <c r="D14300" s="47"/>
    </row>
    <row r="14301" spans="4:4" x14ac:dyDescent="0.45">
      <c r="D14301" s="47"/>
    </row>
    <row r="14302" spans="4:4" x14ac:dyDescent="0.45">
      <c r="D14302" s="47"/>
    </row>
    <row r="14303" spans="4:4" x14ac:dyDescent="0.45">
      <c r="D14303" s="47"/>
    </row>
    <row r="14304" spans="4:4" x14ac:dyDescent="0.45">
      <c r="D14304" s="47"/>
    </row>
    <row r="14305" spans="4:4" x14ac:dyDescent="0.45">
      <c r="D14305" s="47"/>
    </row>
    <row r="14306" spans="4:4" x14ac:dyDescent="0.45">
      <c r="D14306" s="47"/>
    </row>
    <row r="14307" spans="4:4" x14ac:dyDescent="0.45">
      <c r="D14307" s="47"/>
    </row>
    <row r="14308" spans="4:4" x14ac:dyDescent="0.45">
      <c r="D14308" s="47"/>
    </row>
    <row r="14309" spans="4:4" x14ac:dyDescent="0.45">
      <c r="D14309" s="47"/>
    </row>
    <row r="14310" spans="4:4" x14ac:dyDescent="0.45">
      <c r="D14310" s="47"/>
    </row>
    <row r="14311" spans="4:4" x14ac:dyDescent="0.45">
      <c r="D14311" s="47"/>
    </row>
    <row r="14312" spans="4:4" x14ac:dyDescent="0.45">
      <c r="D14312" s="47"/>
    </row>
    <row r="14313" spans="4:4" x14ac:dyDescent="0.45">
      <c r="D14313" s="47"/>
    </row>
    <row r="14314" spans="4:4" x14ac:dyDescent="0.45">
      <c r="D14314" s="47"/>
    </row>
    <row r="14315" spans="4:4" x14ac:dyDescent="0.45">
      <c r="D14315" s="47"/>
    </row>
    <row r="14316" spans="4:4" x14ac:dyDescent="0.45">
      <c r="D14316" s="47"/>
    </row>
    <row r="14317" spans="4:4" x14ac:dyDescent="0.45">
      <c r="D14317" s="47"/>
    </row>
    <row r="14318" spans="4:4" x14ac:dyDescent="0.45">
      <c r="D14318" s="47"/>
    </row>
    <row r="14319" spans="4:4" x14ac:dyDescent="0.45">
      <c r="D14319" s="47"/>
    </row>
    <row r="14320" spans="4:4" x14ac:dyDescent="0.45">
      <c r="D14320" s="47"/>
    </row>
    <row r="14321" spans="4:4" x14ac:dyDescent="0.45">
      <c r="D14321" s="47"/>
    </row>
    <row r="14322" spans="4:4" x14ac:dyDescent="0.45">
      <c r="D14322" s="47"/>
    </row>
    <row r="14323" spans="4:4" x14ac:dyDescent="0.45">
      <c r="D14323" s="47"/>
    </row>
    <row r="14324" spans="4:4" x14ac:dyDescent="0.45">
      <c r="D14324" s="47"/>
    </row>
    <row r="14325" spans="4:4" x14ac:dyDescent="0.45">
      <c r="D14325" s="47"/>
    </row>
    <row r="14326" spans="4:4" x14ac:dyDescent="0.45">
      <c r="D14326" s="47"/>
    </row>
    <row r="14327" spans="4:4" x14ac:dyDescent="0.45">
      <c r="D14327" s="47"/>
    </row>
    <row r="14328" spans="4:4" x14ac:dyDescent="0.45">
      <c r="D14328" s="47"/>
    </row>
    <row r="14329" spans="4:4" x14ac:dyDescent="0.45">
      <c r="D14329" s="47"/>
    </row>
    <row r="14330" spans="4:4" x14ac:dyDescent="0.45">
      <c r="D14330" s="47"/>
    </row>
    <row r="14331" spans="4:4" x14ac:dyDescent="0.45">
      <c r="D14331" s="47"/>
    </row>
    <row r="14332" spans="4:4" x14ac:dyDescent="0.45">
      <c r="D14332" s="47"/>
    </row>
    <row r="14333" spans="4:4" x14ac:dyDescent="0.45">
      <c r="D14333" s="47"/>
    </row>
    <row r="14334" spans="4:4" x14ac:dyDescent="0.45">
      <c r="D14334" s="47"/>
    </row>
    <row r="14335" spans="4:4" x14ac:dyDescent="0.45">
      <c r="D14335" s="47"/>
    </row>
    <row r="14336" spans="4:4" x14ac:dyDescent="0.45">
      <c r="D14336" s="47"/>
    </row>
    <row r="14337" spans="4:4" x14ac:dyDescent="0.45">
      <c r="D14337" s="47"/>
    </row>
    <row r="14338" spans="4:4" x14ac:dyDescent="0.45">
      <c r="D14338" s="47"/>
    </row>
    <row r="14339" spans="4:4" x14ac:dyDescent="0.45">
      <c r="D14339" s="47"/>
    </row>
    <row r="14340" spans="4:4" x14ac:dyDescent="0.45">
      <c r="D14340" s="47"/>
    </row>
    <row r="14341" spans="4:4" x14ac:dyDescent="0.45">
      <c r="D14341" s="47"/>
    </row>
    <row r="14342" spans="4:4" x14ac:dyDescent="0.45">
      <c r="D14342" s="47"/>
    </row>
    <row r="14343" spans="4:4" x14ac:dyDescent="0.45">
      <c r="D14343" s="47"/>
    </row>
    <row r="14344" spans="4:4" x14ac:dyDescent="0.45">
      <c r="D14344" s="47"/>
    </row>
    <row r="14345" spans="4:4" x14ac:dyDescent="0.45">
      <c r="D14345" s="47"/>
    </row>
    <row r="14346" spans="4:4" x14ac:dyDescent="0.45">
      <c r="D14346" s="47"/>
    </row>
    <row r="14347" spans="4:4" x14ac:dyDescent="0.45">
      <c r="D14347" s="47"/>
    </row>
    <row r="14348" spans="4:4" x14ac:dyDescent="0.45">
      <c r="D14348" s="47"/>
    </row>
    <row r="14349" spans="4:4" x14ac:dyDescent="0.45">
      <c r="D14349" s="47"/>
    </row>
    <row r="14350" spans="4:4" x14ac:dyDescent="0.45">
      <c r="D14350" s="47"/>
    </row>
    <row r="14351" spans="4:4" x14ac:dyDescent="0.45">
      <c r="D14351" s="47"/>
    </row>
    <row r="14352" spans="4:4" x14ac:dyDescent="0.45">
      <c r="D14352" s="47"/>
    </row>
    <row r="14353" spans="4:4" x14ac:dyDescent="0.45">
      <c r="D14353" s="47"/>
    </row>
    <row r="14354" spans="4:4" x14ac:dyDescent="0.45">
      <c r="D14354" s="47"/>
    </row>
    <row r="14355" spans="4:4" x14ac:dyDescent="0.45">
      <c r="D14355" s="47"/>
    </row>
    <row r="14356" spans="4:4" x14ac:dyDescent="0.45">
      <c r="D14356" s="47"/>
    </row>
    <row r="14357" spans="4:4" x14ac:dyDescent="0.45">
      <c r="D14357" s="47"/>
    </row>
    <row r="14358" spans="4:4" x14ac:dyDescent="0.45">
      <c r="D14358" s="47"/>
    </row>
    <row r="14359" spans="4:4" x14ac:dyDescent="0.45">
      <c r="D14359" s="47"/>
    </row>
    <row r="14360" spans="4:4" x14ac:dyDescent="0.45">
      <c r="D14360" s="47"/>
    </row>
    <row r="14361" spans="4:4" x14ac:dyDescent="0.45">
      <c r="D14361" s="47"/>
    </row>
    <row r="14362" spans="4:4" x14ac:dyDescent="0.45">
      <c r="D14362" s="47"/>
    </row>
    <row r="14363" spans="4:4" x14ac:dyDescent="0.45">
      <c r="D14363" s="47"/>
    </row>
    <row r="14364" spans="4:4" x14ac:dyDescent="0.45">
      <c r="D14364" s="47"/>
    </row>
    <row r="14365" spans="4:4" x14ac:dyDescent="0.45">
      <c r="D14365" s="47"/>
    </row>
    <row r="14366" spans="4:4" x14ac:dyDescent="0.45">
      <c r="D14366" s="47"/>
    </row>
    <row r="14367" spans="4:4" x14ac:dyDescent="0.45">
      <c r="D14367" s="47"/>
    </row>
    <row r="14368" spans="4:4" x14ac:dyDescent="0.45">
      <c r="D14368" s="47"/>
    </row>
    <row r="14369" spans="4:4" x14ac:dyDescent="0.45">
      <c r="D14369" s="47"/>
    </row>
    <row r="14370" spans="4:4" x14ac:dyDescent="0.45">
      <c r="D14370" s="47"/>
    </row>
    <row r="14371" spans="4:4" x14ac:dyDescent="0.45">
      <c r="D14371" s="47"/>
    </row>
    <row r="14372" spans="4:4" x14ac:dyDescent="0.45">
      <c r="D14372" s="47"/>
    </row>
    <row r="14373" spans="4:4" x14ac:dyDescent="0.45">
      <c r="D14373" s="47"/>
    </row>
    <row r="14374" spans="4:4" x14ac:dyDescent="0.45">
      <c r="D14374" s="47"/>
    </row>
    <row r="14375" spans="4:4" x14ac:dyDescent="0.45">
      <c r="D14375" s="47"/>
    </row>
    <row r="14376" spans="4:4" x14ac:dyDescent="0.45">
      <c r="D14376" s="47"/>
    </row>
    <row r="14377" spans="4:4" x14ac:dyDescent="0.45">
      <c r="D14377" s="47"/>
    </row>
    <row r="14378" spans="4:4" x14ac:dyDescent="0.45">
      <c r="D14378" s="47"/>
    </row>
    <row r="14379" spans="4:4" x14ac:dyDescent="0.45">
      <c r="D14379" s="47"/>
    </row>
    <row r="14380" spans="4:4" x14ac:dyDescent="0.45">
      <c r="D14380" s="47"/>
    </row>
    <row r="14381" spans="4:4" x14ac:dyDescent="0.45">
      <c r="D14381" s="47"/>
    </row>
    <row r="14382" spans="4:4" x14ac:dyDescent="0.45">
      <c r="D14382" s="47"/>
    </row>
    <row r="14383" spans="4:4" x14ac:dyDescent="0.45">
      <c r="D14383" s="47"/>
    </row>
    <row r="14384" spans="4:4" x14ac:dyDescent="0.45">
      <c r="D14384" s="47"/>
    </row>
    <row r="14385" spans="4:4" x14ac:dyDescent="0.45">
      <c r="D14385" s="47"/>
    </row>
    <row r="14386" spans="4:4" x14ac:dyDescent="0.45">
      <c r="D14386" s="47"/>
    </row>
    <row r="14387" spans="4:4" x14ac:dyDescent="0.45">
      <c r="D14387" s="47"/>
    </row>
    <row r="14388" spans="4:4" x14ac:dyDescent="0.45">
      <c r="D14388" s="47"/>
    </row>
    <row r="14389" spans="4:4" x14ac:dyDescent="0.45">
      <c r="D14389" s="47"/>
    </row>
    <row r="14390" spans="4:4" x14ac:dyDescent="0.45">
      <c r="D14390" s="47"/>
    </row>
    <row r="14391" spans="4:4" x14ac:dyDescent="0.45">
      <c r="D14391" s="47"/>
    </row>
    <row r="14392" spans="4:4" x14ac:dyDescent="0.45">
      <c r="D14392" s="47"/>
    </row>
    <row r="14393" spans="4:4" x14ac:dyDescent="0.45">
      <c r="D14393" s="47"/>
    </row>
    <row r="14394" spans="4:4" x14ac:dyDescent="0.45">
      <c r="D14394" s="47"/>
    </row>
    <row r="14395" spans="4:4" x14ac:dyDescent="0.45">
      <c r="D14395" s="47"/>
    </row>
    <row r="14396" spans="4:4" x14ac:dyDescent="0.45">
      <c r="D14396" s="47"/>
    </row>
    <row r="14397" spans="4:4" x14ac:dyDescent="0.45">
      <c r="D14397" s="47"/>
    </row>
    <row r="14398" spans="4:4" x14ac:dyDescent="0.45">
      <c r="D14398" s="47"/>
    </row>
    <row r="14399" spans="4:4" x14ac:dyDescent="0.45">
      <c r="D14399" s="47"/>
    </row>
    <row r="14400" spans="4:4" x14ac:dyDescent="0.45">
      <c r="D14400" s="47"/>
    </row>
    <row r="14401" spans="4:4" x14ac:dyDescent="0.45">
      <c r="D14401" s="47"/>
    </row>
    <row r="14402" spans="4:4" x14ac:dyDescent="0.45">
      <c r="D14402" s="47"/>
    </row>
    <row r="14403" spans="4:4" x14ac:dyDescent="0.45">
      <c r="D14403" s="47"/>
    </row>
    <row r="14404" spans="4:4" x14ac:dyDescent="0.45">
      <c r="D14404" s="47"/>
    </row>
    <row r="14405" spans="4:4" x14ac:dyDescent="0.45">
      <c r="D14405" s="47"/>
    </row>
    <row r="14406" spans="4:4" x14ac:dyDescent="0.45">
      <c r="D14406" s="47"/>
    </row>
    <row r="14407" spans="4:4" x14ac:dyDescent="0.45">
      <c r="D14407" s="47"/>
    </row>
    <row r="14408" spans="4:4" x14ac:dyDescent="0.45">
      <c r="D14408" s="47"/>
    </row>
    <row r="14409" spans="4:4" x14ac:dyDescent="0.45">
      <c r="D14409" s="47"/>
    </row>
    <row r="14410" spans="4:4" x14ac:dyDescent="0.45">
      <c r="D14410" s="47"/>
    </row>
    <row r="14411" spans="4:4" x14ac:dyDescent="0.45">
      <c r="D14411" s="47"/>
    </row>
    <row r="14412" spans="4:4" x14ac:dyDescent="0.45">
      <c r="D14412" s="47"/>
    </row>
    <row r="14413" spans="4:4" x14ac:dyDescent="0.45">
      <c r="D14413" s="47"/>
    </row>
    <row r="14414" spans="4:4" x14ac:dyDescent="0.45">
      <c r="D14414" s="47"/>
    </row>
    <row r="14415" spans="4:4" x14ac:dyDescent="0.45">
      <c r="D14415" s="47"/>
    </row>
    <row r="14416" spans="4:4" x14ac:dyDescent="0.45">
      <c r="D14416" s="47"/>
    </row>
    <row r="14417" spans="4:4" x14ac:dyDescent="0.45">
      <c r="D14417" s="47"/>
    </row>
    <row r="14418" spans="4:4" x14ac:dyDescent="0.45">
      <c r="D14418" s="47"/>
    </row>
    <row r="14419" spans="4:4" x14ac:dyDescent="0.45">
      <c r="D14419" s="47"/>
    </row>
    <row r="14420" spans="4:4" x14ac:dyDescent="0.45">
      <c r="D14420" s="47"/>
    </row>
    <row r="14421" spans="4:4" x14ac:dyDescent="0.45">
      <c r="D14421" s="47"/>
    </row>
    <row r="14422" spans="4:4" x14ac:dyDescent="0.45">
      <c r="D14422" s="47"/>
    </row>
    <row r="14423" spans="4:4" x14ac:dyDescent="0.45">
      <c r="D14423" s="47"/>
    </row>
    <row r="14424" spans="4:4" x14ac:dyDescent="0.45">
      <c r="D14424" s="47"/>
    </row>
    <row r="14425" spans="4:4" x14ac:dyDescent="0.45">
      <c r="D14425" s="47"/>
    </row>
    <row r="14426" spans="4:4" x14ac:dyDescent="0.45">
      <c r="D14426" s="47"/>
    </row>
    <row r="14427" spans="4:4" x14ac:dyDescent="0.45">
      <c r="D14427" s="47"/>
    </row>
    <row r="14428" spans="4:4" x14ac:dyDescent="0.45">
      <c r="D14428" s="47"/>
    </row>
    <row r="14429" spans="4:4" x14ac:dyDescent="0.45">
      <c r="D14429" s="47"/>
    </row>
    <row r="14430" spans="4:4" x14ac:dyDescent="0.45">
      <c r="D14430" s="47"/>
    </row>
    <row r="14431" spans="4:4" x14ac:dyDescent="0.45">
      <c r="D14431" s="47"/>
    </row>
    <row r="14432" spans="4:4" x14ac:dyDescent="0.45">
      <c r="D14432" s="47"/>
    </row>
    <row r="14433" spans="4:4" x14ac:dyDescent="0.45">
      <c r="D14433" s="47"/>
    </row>
    <row r="14434" spans="4:4" x14ac:dyDescent="0.45">
      <c r="D14434" s="47"/>
    </row>
    <row r="14435" spans="4:4" x14ac:dyDescent="0.45">
      <c r="D14435" s="47"/>
    </row>
    <row r="14436" spans="4:4" x14ac:dyDescent="0.45">
      <c r="D14436" s="47"/>
    </row>
    <row r="14437" spans="4:4" x14ac:dyDescent="0.45">
      <c r="D14437" s="47"/>
    </row>
    <row r="14438" spans="4:4" x14ac:dyDescent="0.45">
      <c r="D14438" s="47"/>
    </row>
    <row r="14439" spans="4:4" x14ac:dyDescent="0.45">
      <c r="D14439" s="47"/>
    </row>
    <row r="14440" spans="4:4" x14ac:dyDescent="0.45">
      <c r="D14440" s="47"/>
    </row>
    <row r="14441" spans="4:4" x14ac:dyDescent="0.45">
      <c r="D14441" s="47"/>
    </row>
    <row r="14442" spans="4:4" x14ac:dyDescent="0.45">
      <c r="D14442" s="47"/>
    </row>
    <row r="14443" spans="4:4" x14ac:dyDescent="0.45">
      <c r="D14443" s="47"/>
    </row>
    <row r="14444" spans="4:4" x14ac:dyDescent="0.45">
      <c r="D14444" s="47"/>
    </row>
    <row r="14445" spans="4:4" x14ac:dyDescent="0.45">
      <c r="D14445" s="47"/>
    </row>
    <row r="14446" spans="4:4" x14ac:dyDescent="0.45">
      <c r="D14446" s="47"/>
    </row>
    <row r="14447" spans="4:4" x14ac:dyDescent="0.45">
      <c r="D14447" s="47"/>
    </row>
    <row r="14448" spans="4:4" x14ac:dyDescent="0.45">
      <c r="D14448" s="47"/>
    </row>
    <row r="14449" spans="4:4" x14ac:dyDescent="0.45">
      <c r="D14449" s="47"/>
    </row>
    <row r="14450" spans="4:4" x14ac:dyDescent="0.45">
      <c r="D14450" s="47"/>
    </row>
    <row r="14451" spans="4:4" x14ac:dyDescent="0.45">
      <c r="D14451" s="47"/>
    </row>
    <row r="14452" spans="4:4" x14ac:dyDescent="0.45">
      <c r="D14452" s="47"/>
    </row>
    <row r="14453" spans="4:4" x14ac:dyDescent="0.45">
      <c r="D14453" s="47"/>
    </row>
    <row r="14454" spans="4:4" x14ac:dyDescent="0.45">
      <c r="D14454" s="47"/>
    </row>
    <row r="14455" spans="4:4" x14ac:dyDescent="0.45">
      <c r="D14455" s="47"/>
    </row>
    <row r="14456" spans="4:4" x14ac:dyDescent="0.45">
      <c r="D14456" s="47"/>
    </row>
    <row r="14457" spans="4:4" x14ac:dyDescent="0.45">
      <c r="D14457" s="47"/>
    </row>
    <row r="14458" spans="4:4" x14ac:dyDescent="0.45">
      <c r="D14458" s="47"/>
    </row>
    <row r="14459" spans="4:4" x14ac:dyDescent="0.45">
      <c r="D14459" s="47"/>
    </row>
    <row r="14460" spans="4:4" x14ac:dyDescent="0.45">
      <c r="D14460" s="47"/>
    </row>
    <row r="14461" spans="4:4" x14ac:dyDescent="0.45">
      <c r="D14461" s="47"/>
    </row>
    <row r="14462" spans="4:4" x14ac:dyDescent="0.45">
      <c r="D14462" s="47"/>
    </row>
    <row r="14463" spans="4:4" x14ac:dyDescent="0.45">
      <c r="D14463" s="47"/>
    </row>
    <row r="14464" spans="4:4" x14ac:dyDescent="0.45">
      <c r="D14464" s="47"/>
    </row>
    <row r="14465" spans="4:4" x14ac:dyDescent="0.45">
      <c r="D14465" s="47"/>
    </row>
    <row r="14466" spans="4:4" x14ac:dyDescent="0.45">
      <c r="D14466" s="47"/>
    </row>
    <row r="14467" spans="4:4" x14ac:dyDescent="0.45">
      <c r="D14467" s="47"/>
    </row>
    <row r="14468" spans="4:4" x14ac:dyDescent="0.45">
      <c r="D14468" s="47"/>
    </row>
    <row r="14469" spans="4:4" x14ac:dyDescent="0.45">
      <c r="D14469" s="47"/>
    </row>
    <row r="14470" spans="4:4" x14ac:dyDescent="0.45">
      <c r="D14470" s="47"/>
    </row>
    <row r="14471" spans="4:4" x14ac:dyDescent="0.45">
      <c r="D14471" s="47"/>
    </row>
    <row r="14472" spans="4:4" x14ac:dyDescent="0.45">
      <c r="D14472" s="47"/>
    </row>
    <row r="14473" spans="4:4" x14ac:dyDescent="0.45">
      <c r="D14473" s="47"/>
    </row>
    <row r="14474" spans="4:4" x14ac:dyDescent="0.45">
      <c r="D14474" s="47"/>
    </row>
    <row r="14475" spans="4:4" x14ac:dyDescent="0.45">
      <c r="D14475" s="47"/>
    </row>
    <row r="14476" spans="4:4" x14ac:dyDescent="0.45">
      <c r="D14476" s="47"/>
    </row>
    <row r="14477" spans="4:4" x14ac:dyDescent="0.45">
      <c r="D14477" s="47"/>
    </row>
    <row r="14478" spans="4:4" x14ac:dyDescent="0.45">
      <c r="D14478" s="47"/>
    </row>
    <row r="14479" spans="4:4" x14ac:dyDescent="0.45">
      <c r="D14479" s="47"/>
    </row>
    <row r="14480" spans="4:4" x14ac:dyDescent="0.45">
      <c r="D14480" s="47"/>
    </row>
    <row r="14481" spans="4:4" x14ac:dyDescent="0.45">
      <c r="D14481" s="47"/>
    </row>
    <row r="14482" spans="4:4" x14ac:dyDescent="0.45">
      <c r="D14482" s="47"/>
    </row>
    <row r="14483" spans="4:4" x14ac:dyDescent="0.45">
      <c r="D14483" s="47"/>
    </row>
    <row r="14484" spans="4:4" x14ac:dyDescent="0.45">
      <c r="D14484" s="47"/>
    </row>
    <row r="14485" spans="4:4" x14ac:dyDescent="0.45">
      <c r="D14485" s="47"/>
    </row>
    <row r="14486" spans="4:4" x14ac:dyDescent="0.45">
      <c r="D14486" s="47"/>
    </row>
    <row r="14487" spans="4:4" x14ac:dyDescent="0.45">
      <c r="D14487" s="47"/>
    </row>
    <row r="14488" spans="4:4" x14ac:dyDescent="0.45">
      <c r="D14488" s="47"/>
    </row>
    <row r="14489" spans="4:4" x14ac:dyDescent="0.45">
      <c r="D14489" s="47"/>
    </row>
    <row r="14490" spans="4:4" x14ac:dyDescent="0.45">
      <c r="D14490" s="47"/>
    </row>
    <row r="14491" spans="4:4" x14ac:dyDescent="0.45">
      <c r="D14491" s="47"/>
    </row>
    <row r="14492" spans="4:4" x14ac:dyDescent="0.45">
      <c r="D14492" s="47"/>
    </row>
    <row r="14493" spans="4:4" x14ac:dyDescent="0.45">
      <c r="D14493" s="47"/>
    </row>
    <row r="14494" spans="4:4" x14ac:dyDescent="0.45">
      <c r="D14494" s="47"/>
    </row>
    <row r="14495" spans="4:4" x14ac:dyDescent="0.45">
      <c r="D14495" s="47"/>
    </row>
    <row r="14496" spans="4:4" x14ac:dyDescent="0.45">
      <c r="D14496" s="47"/>
    </row>
    <row r="14497" spans="4:4" x14ac:dyDescent="0.45">
      <c r="D14497" s="47"/>
    </row>
    <row r="14498" spans="4:4" x14ac:dyDescent="0.45">
      <c r="D14498" s="47"/>
    </row>
    <row r="14499" spans="4:4" x14ac:dyDescent="0.45">
      <c r="D14499" s="47"/>
    </row>
    <row r="14500" spans="4:4" x14ac:dyDescent="0.45">
      <c r="D14500" s="47"/>
    </row>
    <row r="14501" spans="4:4" x14ac:dyDescent="0.45">
      <c r="D14501" s="47"/>
    </row>
    <row r="14502" spans="4:4" x14ac:dyDescent="0.45">
      <c r="D14502" s="47"/>
    </row>
    <row r="14503" spans="4:4" x14ac:dyDescent="0.45">
      <c r="D14503" s="47"/>
    </row>
    <row r="14504" spans="4:4" x14ac:dyDescent="0.45">
      <c r="D14504" s="47"/>
    </row>
    <row r="14505" spans="4:4" x14ac:dyDescent="0.45">
      <c r="D14505" s="47"/>
    </row>
    <row r="14506" spans="4:4" x14ac:dyDescent="0.45">
      <c r="D14506" s="47"/>
    </row>
    <row r="14507" spans="4:4" x14ac:dyDescent="0.45">
      <c r="D14507" s="47"/>
    </row>
    <row r="14508" spans="4:4" x14ac:dyDescent="0.45">
      <c r="D14508" s="47"/>
    </row>
    <row r="14509" spans="4:4" x14ac:dyDescent="0.45">
      <c r="D14509" s="47"/>
    </row>
    <row r="14510" spans="4:4" x14ac:dyDescent="0.45">
      <c r="D14510" s="47"/>
    </row>
    <row r="14511" spans="4:4" x14ac:dyDescent="0.45">
      <c r="D14511" s="47"/>
    </row>
    <row r="14512" spans="4:4" x14ac:dyDescent="0.45">
      <c r="D14512" s="47"/>
    </row>
    <row r="14513" spans="4:4" x14ac:dyDescent="0.45">
      <c r="D14513" s="47"/>
    </row>
    <row r="14514" spans="4:4" x14ac:dyDescent="0.45">
      <c r="D14514" s="47"/>
    </row>
    <row r="14515" spans="4:4" x14ac:dyDescent="0.45">
      <c r="D14515" s="47"/>
    </row>
    <row r="14516" spans="4:4" x14ac:dyDescent="0.45">
      <c r="D14516" s="47"/>
    </row>
    <row r="14517" spans="4:4" x14ac:dyDescent="0.45">
      <c r="D14517" s="47"/>
    </row>
    <row r="14518" spans="4:4" x14ac:dyDescent="0.45">
      <c r="D14518" s="47"/>
    </row>
    <row r="14519" spans="4:4" x14ac:dyDescent="0.45">
      <c r="D14519" s="47"/>
    </row>
    <row r="14520" spans="4:4" x14ac:dyDescent="0.45">
      <c r="D14520" s="47"/>
    </row>
    <row r="14521" spans="4:4" x14ac:dyDescent="0.45">
      <c r="D14521" s="47"/>
    </row>
    <row r="14522" spans="4:4" x14ac:dyDescent="0.45">
      <c r="D14522" s="47"/>
    </row>
    <row r="14523" spans="4:4" x14ac:dyDescent="0.45">
      <c r="D14523" s="47"/>
    </row>
    <row r="14524" spans="4:4" x14ac:dyDescent="0.45">
      <c r="D14524" s="47"/>
    </row>
    <row r="14525" spans="4:4" x14ac:dyDescent="0.45">
      <c r="D14525" s="47"/>
    </row>
    <row r="14526" spans="4:4" x14ac:dyDescent="0.45">
      <c r="D14526" s="47"/>
    </row>
    <row r="14527" spans="4:4" x14ac:dyDescent="0.45">
      <c r="D14527" s="47"/>
    </row>
    <row r="14528" spans="4:4" x14ac:dyDescent="0.45">
      <c r="D14528" s="47"/>
    </row>
    <row r="14529" spans="4:4" x14ac:dyDescent="0.45">
      <c r="D14529" s="47"/>
    </row>
    <row r="14530" spans="4:4" x14ac:dyDescent="0.45">
      <c r="D14530" s="47"/>
    </row>
    <row r="14531" spans="4:4" x14ac:dyDescent="0.45">
      <c r="D14531" s="47"/>
    </row>
    <row r="14532" spans="4:4" x14ac:dyDescent="0.45">
      <c r="D14532" s="47"/>
    </row>
    <row r="14533" spans="4:4" x14ac:dyDescent="0.45">
      <c r="D14533" s="47"/>
    </row>
    <row r="14534" spans="4:4" x14ac:dyDescent="0.45">
      <c r="D14534" s="47"/>
    </row>
    <row r="14535" spans="4:4" x14ac:dyDescent="0.45">
      <c r="D14535" s="47"/>
    </row>
    <row r="14536" spans="4:4" x14ac:dyDescent="0.45">
      <c r="D14536" s="47"/>
    </row>
    <row r="14537" spans="4:4" x14ac:dyDescent="0.45">
      <c r="D14537" s="47"/>
    </row>
    <row r="14538" spans="4:4" x14ac:dyDescent="0.45">
      <c r="D14538" s="47"/>
    </row>
    <row r="14539" spans="4:4" x14ac:dyDescent="0.45">
      <c r="D14539" s="47"/>
    </row>
    <row r="14540" spans="4:4" x14ac:dyDescent="0.45">
      <c r="D14540" s="47"/>
    </row>
    <row r="14541" spans="4:4" x14ac:dyDescent="0.45">
      <c r="D14541" s="47"/>
    </row>
    <row r="14542" spans="4:4" x14ac:dyDescent="0.45">
      <c r="D14542" s="47"/>
    </row>
    <row r="14543" spans="4:4" x14ac:dyDescent="0.45">
      <c r="D14543" s="47"/>
    </row>
    <row r="14544" spans="4:4" x14ac:dyDescent="0.45">
      <c r="D14544" s="47"/>
    </row>
    <row r="14545" spans="4:4" x14ac:dyDescent="0.45">
      <c r="D14545" s="47"/>
    </row>
    <row r="14546" spans="4:4" x14ac:dyDescent="0.45">
      <c r="D14546" s="47"/>
    </row>
    <row r="14547" spans="4:4" x14ac:dyDescent="0.45">
      <c r="D14547" s="47"/>
    </row>
    <row r="14548" spans="4:4" x14ac:dyDescent="0.45">
      <c r="D14548" s="47"/>
    </row>
    <row r="14549" spans="4:4" x14ac:dyDescent="0.45">
      <c r="D14549" s="47"/>
    </row>
    <row r="14550" spans="4:4" x14ac:dyDescent="0.45">
      <c r="D14550" s="47"/>
    </row>
    <row r="14551" spans="4:4" x14ac:dyDescent="0.45">
      <c r="D14551" s="47"/>
    </row>
    <row r="14552" spans="4:4" x14ac:dyDescent="0.45">
      <c r="D14552" s="47"/>
    </row>
    <row r="14553" spans="4:4" x14ac:dyDescent="0.45">
      <c r="D14553" s="47"/>
    </row>
    <row r="14554" spans="4:4" x14ac:dyDescent="0.45">
      <c r="D14554" s="47"/>
    </row>
    <row r="14555" spans="4:4" x14ac:dyDescent="0.45">
      <c r="D14555" s="47"/>
    </row>
    <row r="14556" spans="4:4" x14ac:dyDescent="0.45">
      <c r="D14556" s="47"/>
    </row>
    <row r="14557" spans="4:4" x14ac:dyDescent="0.45">
      <c r="D14557" s="47"/>
    </row>
    <row r="14558" spans="4:4" x14ac:dyDescent="0.45">
      <c r="D14558" s="47"/>
    </row>
    <row r="14559" spans="4:4" x14ac:dyDescent="0.45">
      <c r="D14559" s="47"/>
    </row>
    <row r="14560" spans="4:4" x14ac:dyDescent="0.45">
      <c r="D14560" s="47"/>
    </row>
    <row r="14561" spans="4:4" x14ac:dyDescent="0.45">
      <c r="D14561" s="47"/>
    </row>
    <row r="14562" spans="4:4" x14ac:dyDescent="0.45">
      <c r="D14562" s="47"/>
    </row>
    <row r="14563" spans="4:4" x14ac:dyDescent="0.45">
      <c r="D14563" s="47"/>
    </row>
    <row r="14564" spans="4:4" x14ac:dyDescent="0.45">
      <c r="D14564" s="47"/>
    </row>
    <row r="14565" spans="4:4" x14ac:dyDescent="0.45">
      <c r="D14565" s="47"/>
    </row>
    <row r="14566" spans="4:4" x14ac:dyDescent="0.45">
      <c r="D14566" s="47"/>
    </row>
    <row r="14567" spans="4:4" x14ac:dyDescent="0.45">
      <c r="D14567" s="47"/>
    </row>
    <row r="14568" spans="4:4" x14ac:dyDescent="0.45">
      <c r="D14568" s="47"/>
    </row>
    <row r="14569" spans="4:4" x14ac:dyDescent="0.45">
      <c r="D14569" s="47"/>
    </row>
    <row r="14570" spans="4:4" x14ac:dyDescent="0.45">
      <c r="D14570" s="47"/>
    </row>
    <row r="14571" spans="4:4" x14ac:dyDescent="0.45">
      <c r="D14571" s="47"/>
    </row>
    <row r="14572" spans="4:4" x14ac:dyDescent="0.45">
      <c r="D14572" s="47"/>
    </row>
    <row r="14573" spans="4:4" x14ac:dyDescent="0.45">
      <c r="D14573" s="47"/>
    </row>
    <row r="14574" spans="4:4" x14ac:dyDescent="0.45">
      <c r="D14574" s="47"/>
    </row>
    <row r="14575" spans="4:4" x14ac:dyDescent="0.45">
      <c r="D14575" s="47"/>
    </row>
    <row r="14576" spans="4:4" x14ac:dyDescent="0.45">
      <c r="D14576" s="47"/>
    </row>
    <row r="14577" spans="4:4" x14ac:dyDescent="0.45">
      <c r="D14577" s="47"/>
    </row>
    <row r="14578" spans="4:4" x14ac:dyDescent="0.45">
      <c r="D14578" s="47"/>
    </row>
    <row r="14579" spans="4:4" x14ac:dyDescent="0.45">
      <c r="D14579" s="47"/>
    </row>
    <row r="14580" spans="4:4" x14ac:dyDescent="0.45">
      <c r="D14580" s="47"/>
    </row>
    <row r="14581" spans="4:4" x14ac:dyDescent="0.45">
      <c r="D14581" s="47"/>
    </row>
    <row r="14582" spans="4:4" x14ac:dyDescent="0.45">
      <c r="D14582" s="47"/>
    </row>
    <row r="14583" spans="4:4" x14ac:dyDescent="0.45">
      <c r="D14583" s="47"/>
    </row>
    <row r="14584" spans="4:4" x14ac:dyDescent="0.45">
      <c r="D14584" s="47"/>
    </row>
    <row r="14585" spans="4:4" x14ac:dyDescent="0.45">
      <c r="D14585" s="47"/>
    </row>
    <row r="14586" spans="4:4" x14ac:dyDescent="0.45">
      <c r="D14586" s="47"/>
    </row>
    <row r="14587" spans="4:4" x14ac:dyDescent="0.45">
      <c r="D14587" s="47"/>
    </row>
    <row r="14588" spans="4:4" x14ac:dyDescent="0.45">
      <c r="D14588" s="47"/>
    </row>
    <row r="14589" spans="4:4" x14ac:dyDescent="0.45">
      <c r="D14589" s="47"/>
    </row>
    <row r="14590" spans="4:4" x14ac:dyDescent="0.45">
      <c r="D14590" s="47"/>
    </row>
    <row r="14591" spans="4:4" x14ac:dyDescent="0.45">
      <c r="D14591" s="47"/>
    </row>
    <row r="14592" spans="4:4" x14ac:dyDescent="0.45">
      <c r="D14592" s="47"/>
    </row>
    <row r="14593" spans="4:4" x14ac:dyDescent="0.45">
      <c r="D14593" s="47"/>
    </row>
    <row r="14594" spans="4:4" x14ac:dyDescent="0.45">
      <c r="D14594" s="47"/>
    </row>
    <row r="14595" spans="4:4" x14ac:dyDescent="0.45">
      <c r="D14595" s="47"/>
    </row>
    <row r="14596" spans="4:4" x14ac:dyDescent="0.45">
      <c r="D14596" s="47"/>
    </row>
    <row r="14597" spans="4:4" x14ac:dyDescent="0.45">
      <c r="D14597" s="47"/>
    </row>
    <row r="14598" spans="4:4" x14ac:dyDescent="0.45">
      <c r="D14598" s="47"/>
    </row>
    <row r="14599" spans="4:4" x14ac:dyDescent="0.45">
      <c r="D14599" s="47"/>
    </row>
    <row r="14600" spans="4:4" x14ac:dyDescent="0.45">
      <c r="D14600" s="47"/>
    </row>
    <row r="14601" spans="4:4" x14ac:dyDescent="0.45">
      <c r="D14601" s="47"/>
    </row>
    <row r="14602" spans="4:4" x14ac:dyDescent="0.45">
      <c r="D14602" s="47"/>
    </row>
    <row r="14603" spans="4:4" x14ac:dyDescent="0.45">
      <c r="D14603" s="47"/>
    </row>
    <row r="14604" spans="4:4" x14ac:dyDescent="0.45">
      <c r="D14604" s="47"/>
    </row>
    <row r="14605" spans="4:4" x14ac:dyDescent="0.45">
      <c r="D14605" s="47"/>
    </row>
    <row r="14606" spans="4:4" x14ac:dyDescent="0.45">
      <c r="D14606" s="47"/>
    </row>
    <row r="14607" spans="4:4" x14ac:dyDescent="0.45">
      <c r="D14607" s="47"/>
    </row>
    <row r="14608" spans="4:4" x14ac:dyDescent="0.45">
      <c r="D14608" s="47"/>
    </row>
    <row r="14609" spans="4:4" x14ac:dyDescent="0.45">
      <c r="D14609" s="47"/>
    </row>
    <row r="14610" spans="4:4" x14ac:dyDescent="0.45">
      <c r="D14610" s="47"/>
    </row>
    <row r="14611" spans="4:4" x14ac:dyDescent="0.45">
      <c r="D14611" s="47"/>
    </row>
    <row r="14612" spans="4:4" x14ac:dyDescent="0.45">
      <c r="D14612" s="47"/>
    </row>
    <row r="14613" spans="4:4" x14ac:dyDescent="0.45">
      <c r="D14613" s="47"/>
    </row>
    <row r="14614" spans="4:4" x14ac:dyDescent="0.45">
      <c r="D14614" s="47"/>
    </row>
    <row r="14615" spans="4:4" x14ac:dyDescent="0.45">
      <c r="D14615" s="47"/>
    </row>
    <row r="14616" spans="4:4" x14ac:dyDescent="0.45">
      <c r="D14616" s="47"/>
    </row>
    <row r="14617" spans="4:4" x14ac:dyDescent="0.45">
      <c r="D14617" s="47"/>
    </row>
    <row r="14618" spans="4:4" x14ac:dyDescent="0.45">
      <c r="D14618" s="47"/>
    </row>
    <row r="14619" spans="4:4" x14ac:dyDescent="0.45">
      <c r="D14619" s="47"/>
    </row>
    <row r="14620" spans="4:4" x14ac:dyDescent="0.45">
      <c r="D14620" s="47"/>
    </row>
    <row r="14621" spans="4:4" x14ac:dyDescent="0.45">
      <c r="D14621" s="47"/>
    </row>
    <row r="14622" spans="4:4" x14ac:dyDescent="0.45">
      <c r="D14622" s="47"/>
    </row>
    <row r="14623" spans="4:4" x14ac:dyDescent="0.45">
      <c r="D14623" s="47"/>
    </row>
    <row r="14624" spans="4:4" x14ac:dyDescent="0.45">
      <c r="D14624" s="47"/>
    </row>
    <row r="14625" spans="4:4" x14ac:dyDescent="0.45">
      <c r="D14625" s="47"/>
    </row>
    <row r="14626" spans="4:4" x14ac:dyDescent="0.45">
      <c r="D14626" s="47"/>
    </row>
    <row r="14627" spans="4:4" x14ac:dyDescent="0.45">
      <c r="D14627" s="47"/>
    </row>
    <row r="14628" spans="4:4" x14ac:dyDescent="0.45">
      <c r="D14628" s="47"/>
    </row>
    <row r="14629" spans="4:4" x14ac:dyDescent="0.45">
      <c r="D14629" s="47"/>
    </row>
    <row r="14630" spans="4:4" x14ac:dyDescent="0.45">
      <c r="D14630" s="47"/>
    </row>
    <row r="14631" spans="4:4" x14ac:dyDescent="0.45">
      <c r="D14631" s="47"/>
    </row>
    <row r="14632" spans="4:4" x14ac:dyDescent="0.45">
      <c r="D14632" s="47"/>
    </row>
    <row r="14633" spans="4:4" x14ac:dyDescent="0.45">
      <c r="D14633" s="47"/>
    </row>
    <row r="14634" spans="4:4" x14ac:dyDescent="0.45">
      <c r="D14634" s="47"/>
    </row>
    <row r="14635" spans="4:4" x14ac:dyDescent="0.45">
      <c r="D14635" s="47"/>
    </row>
    <row r="14636" spans="4:4" x14ac:dyDescent="0.45">
      <c r="D14636" s="47"/>
    </row>
    <row r="14637" spans="4:4" x14ac:dyDescent="0.45">
      <c r="D14637" s="47"/>
    </row>
    <row r="14638" spans="4:4" x14ac:dyDescent="0.45">
      <c r="D14638" s="47"/>
    </row>
    <row r="14639" spans="4:4" x14ac:dyDescent="0.45">
      <c r="D14639" s="47"/>
    </row>
    <row r="14640" spans="4:4" x14ac:dyDescent="0.45">
      <c r="D14640" s="47"/>
    </row>
    <row r="14641" spans="4:4" x14ac:dyDescent="0.45">
      <c r="D14641" s="47"/>
    </row>
    <row r="14642" spans="4:4" x14ac:dyDescent="0.45">
      <c r="D14642" s="47"/>
    </row>
    <row r="14643" spans="4:4" x14ac:dyDescent="0.45">
      <c r="D14643" s="47"/>
    </row>
    <row r="14644" spans="4:4" x14ac:dyDescent="0.45">
      <c r="D14644" s="47"/>
    </row>
    <row r="14645" spans="4:4" x14ac:dyDescent="0.45">
      <c r="D14645" s="47"/>
    </row>
    <row r="14646" spans="4:4" x14ac:dyDescent="0.45">
      <c r="D14646" s="47"/>
    </row>
    <row r="14647" spans="4:4" x14ac:dyDescent="0.45">
      <c r="D14647" s="47"/>
    </row>
    <row r="14648" spans="4:4" x14ac:dyDescent="0.45">
      <c r="D14648" s="47"/>
    </row>
    <row r="14649" spans="4:4" x14ac:dyDescent="0.45">
      <c r="D14649" s="47"/>
    </row>
    <row r="14650" spans="4:4" x14ac:dyDescent="0.45">
      <c r="D14650" s="47"/>
    </row>
    <row r="14651" spans="4:4" x14ac:dyDescent="0.45">
      <c r="D14651" s="47"/>
    </row>
    <row r="14652" spans="4:4" x14ac:dyDescent="0.45">
      <c r="D14652" s="47"/>
    </row>
    <row r="14653" spans="4:4" x14ac:dyDescent="0.45">
      <c r="D14653" s="47"/>
    </row>
    <row r="14654" spans="4:4" x14ac:dyDescent="0.45">
      <c r="D14654" s="47"/>
    </row>
    <row r="14655" spans="4:4" x14ac:dyDescent="0.45">
      <c r="D14655" s="47"/>
    </row>
    <row r="14656" spans="4:4" x14ac:dyDescent="0.45">
      <c r="D14656" s="47"/>
    </row>
    <row r="14657" spans="4:4" x14ac:dyDescent="0.45">
      <c r="D14657" s="47"/>
    </row>
    <row r="14658" spans="4:4" x14ac:dyDescent="0.45">
      <c r="D14658" s="47"/>
    </row>
    <row r="14659" spans="4:4" x14ac:dyDescent="0.45">
      <c r="D14659" s="47"/>
    </row>
    <row r="14660" spans="4:4" x14ac:dyDescent="0.45">
      <c r="D14660" s="47"/>
    </row>
    <row r="14661" spans="4:4" x14ac:dyDescent="0.45">
      <c r="D14661" s="47"/>
    </row>
    <row r="14662" spans="4:4" x14ac:dyDescent="0.45">
      <c r="D14662" s="47"/>
    </row>
    <row r="14663" spans="4:4" x14ac:dyDescent="0.45">
      <c r="D14663" s="47"/>
    </row>
    <row r="14664" spans="4:4" x14ac:dyDescent="0.45">
      <c r="D14664" s="47"/>
    </row>
    <row r="14665" spans="4:4" x14ac:dyDescent="0.45">
      <c r="D14665" s="47"/>
    </row>
    <row r="14666" spans="4:4" x14ac:dyDescent="0.45">
      <c r="D14666" s="47"/>
    </row>
    <row r="14667" spans="4:4" x14ac:dyDescent="0.45">
      <c r="D14667" s="47"/>
    </row>
    <row r="14668" spans="4:4" x14ac:dyDescent="0.45">
      <c r="D14668" s="47"/>
    </row>
    <row r="14669" spans="4:4" x14ac:dyDescent="0.45">
      <c r="D14669" s="47"/>
    </row>
    <row r="14670" spans="4:4" x14ac:dyDescent="0.45">
      <c r="D14670" s="47"/>
    </row>
    <row r="14671" spans="4:4" x14ac:dyDescent="0.45">
      <c r="D14671" s="47"/>
    </row>
    <row r="14672" spans="4:4" x14ac:dyDescent="0.45">
      <c r="D14672" s="47"/>
    </row>
    <row r="14673" spans="4:4" x14ac:dyDescent="0.45">
      <c r="D14673" s="47"/>
    </row>
    <row r="14674" spans="4:4" x14ac:dyDescent="0.45">
      <c r="D14674" s="47"/>
    </row>
    <row r="14675" spans="4:4" x14ac:dyDescent="0.45">
      <c r="D14675" s="47"/>
    </row>
    <row r="14676" spans="4:4" x14ac:dyDescent="0.45">
      <c r="D14676" s="47"/>
    </row>
    <row r="14677" spans="4:4" x14ac:dyDescent="0.45">
      <c r="D14677" s="47"/>
    </row>
    <row r="14678" spans="4:4" x14ac:dyDescent="0.45">
      <c r="D14678" s="47"/>
    </row>
    <row r="14679" spans="4:4" x14ac:dyDescent="0.45">
      <c r="D14679" s="47"/>
    </row>
    <row r="14680" spans="4:4" x14ac:dyDescent="0.45">
      <c r="D14680" s="47"/>
    </row>
    <row r="14681" spans="4:4" x14ac:dyDescent="0.45">
      <c r="D14681" s="47"/>
    </row>
    <row r="14682" spans="4:4" x14ac:dyDescent="0.45">
      <c r="D14682" s="47"/>
    </row>
    <row r="14683" spans="4:4" x14ac:dyDescent="0.45">
      <c r="D14683" s="47"/>
    </row>
    <row r="14684" spans="4:4" x14ac:dyDescent="0.45">
      <c r="D14684" s="47"/>
    </row>
    <row r="14685" spans="4:4" x14ac:dyDescent="0.45">
      <c r="D14685" s="47"/>
    </row>
    <row r="14686" spans="4:4" x14ac:dyDescent="0.45">
      <c r="D14686" s="47"/>
    </row>
    <row r="14687" spans="4:4" x14ac:dyDescent="0.45">
      <c r="D14687" s="47"/>
    </row>
    <row r="14688" spans="4:4" x14ac:dyDescent="0.45">
      <c r="D14688" s="47"/>
    </row>
    <row r="14689" spans="4:4" x14ac:dyDescent="0.45">
      <c r="D14689" s="47"/>
    </row>
    <row r="14690" spans="4:4" x14ac:dyDescent="0.45">
      <c r="D14690" s="47"/>
    </row>
    <row r="14691" spans="4:4" x14ac:dyDescent="0.45">
      <c r="D14691" s="47"/>
    </row>
    <row r="14692" spans="4:4" x14ac:dyDescent="0.45">
      <c r="D14692" s="47"/>
    </row>
    <row r="14693" spans="4:4" x14ac:dyDescent="0.45">
      <c r="D14693" s="47"/>
    </row>
    <row r="14694" spans="4:4" x14ac:dyDescent="0.45">
      <c r="D14694" s="47"/>
    </row>
    <row r="14695" spans="4:4" x14ac:dyDescent="0.45">
      <c r="D14695" s="47"/>
    </row>
    <row r="14696" spans="4:4" x14ac:dyDescent="0.45">
      <c r="D14696" s="47"/>
    </row>
    <row r="14697" spans="4:4" x14ac:dyDescent="0.45">
      <c r="D14697" s="47"/>
    </row>
    <row r="14698" spans="4:4" x14ac:dyDescent="0.45">
      <c r="D14698" s="47"/>
    </row>
    <row r="14699" spans="4:4" x14ac:dyDescent="0.45">
      <c r="D14699" s="47"/>
    </row>
    <row r="14700" spans="4:4" x14ac:dyDescent="0.45">
      <c r="D14700" s="47"/>
    </row>
    <row r="14701" spans="4:4" x14ac:dyDescent="0.45">
      <c r="D14701" s="47"/>
    </row>
    <row r="14702" spans="4:4" x14ac:dyDescent="0.45">
      <c r="D14702" s="47"/>
    </row>
    <row r="14703" spans="4:4" x14ac:dyDescent="0.45">
      <c r="D14703" s="47"/>
    </row>
    <row r="14704" spans="4:4" x14ac:dyDescent="0.45">
      <c r="D14704" s="47"/>
    </row>
    <row r="14705" spans="4:4" x14ac:dyDescent="0.45">
      <c r="D14705" s="47"/>
    </row>
    <row r="14706" spans="4:4" x14ac:dyDescent="0.45">
      <c r="D14706" s="47"/>
    </row>
    <row r="14707" spans="4:4" x14ac:dyDescent="0.45">
      <c r="D14707" s="47"/>
    </row>
    <row r="14708" spans="4:4" x14ac:dyDescent="0.45">
      <c r="D14708" s="47"/>
    </row>
    <row r="14709" spans="4:4" x14ac:dyDescent="0.45">
      <c r="D14709" s="47"/>
    </row>
    <row r="14710" spans="4:4" x14ac:dyDescent="0.45">
      <c r="D14710" s="47"/>
    </row>
    <row r="14711" spans="4:4" x14ac:dyDescent="0.45">
      <c r="D14711" s="47"/>
    </row>
    <row r="14712" spans="4:4" x14ac:dyDescent="0.45">
      <c r="D14712" s="47"/>
    </row>
    <row r="14713" spans="4:4" x14ac:dyDescent="0.45">
      <c r="D14713" s="47"/>
    </row>
    <row r="14714" spans="4:4" x14ac:dyDescent="0.45">
      <c r="D14714" s="47"/>
    </row>
    <row r="14715" spans="4:4" x14ac:dyDescent="0.45">
      <c r="D14715" s="47"/>
    </row>
    <row r="14716" spans="4:4" x14ac:dyDescent="0.45">
      <c r="D14716" s="47"/>
    </row>
    <row r="14717" spans="4:4" x14ac:dyDescent="0.45">
      <c r="D14717" s="47"/>
    </row>
    <row r="14718" spans="4:4" x14ac:dyDescent="0.45">
      <c r="D14718" s="47"/>
    </row>
    <row r="14719" spans="4:4" x14ac:dyDescent="0.45">
      <c r="D14719" s="47"/>
    </row>
    <row r="14720" spans="4:4" x14ac:dyDescent="0.45">
      <c r="D14720" s="47"/>
    </row>
    <row r="14721" spans="4:4" x14ac:dyDescent="0.45">
      <c r="D14721" s="47"/>
    </row>
    <row r="14722" spans="4:4" x14ac:dyDescent="0.45">
      <c r="D14722" s="47"/>
    </row>
    <row r="14723" spans="4:4" x14ac:dyDescent="0.45">
      <c r="D14723" s="47"/>
    </row>
    <row r="14724" spans="4:4" x14ac:dyDescent="0.45">
      <c r="D14724" s="47"/>
    </row>
    <row r="14725" spans="4:4" x14ac:dyDescent="0.45">
      <c r="D14725" s="47"/>
    </row>
    <row r="14726" spans="4:4" x14ac:dyDescent="0.45">
      <c r="D14726" s="47"/>
    </row>
    <row r="14727" spans="4:4" x14ac:dyDescent="0.45">
      <c r="D14727" s="47"/>
    </row>
    <row r="14728" spans="4:4" x14ac:dyDescent="0.45">
      <c r="D14728" s="47"/>
    </row>
    <row r="14729" spans="4:4" x14ac:dyDescent="0.45">
      <c r="D14729" s="47"/>
    </row>
    <row r="14730" spans="4:4" x14ac:dyDescent="0.45">
      <c r="D14730" s="47"/>
    </row>
    <row r="14731" spans="4:4" x14ac:dyDescent="0.45">
      <c r="D14731" s="47"/>
    </row>
    <row r="14732" spans="4:4" x14ac:dyDescent="0.45">
      <c r="D14732" s="47"/>
    </row>
    <row r="14733" spans="4:4" x14ac:dyDescent="0.45">
      <c r="D14733" s="47"/>
    </row>
    <row r="14734" spans="4:4" x14ac:dyDescent="0.45">
      <c r="D14734" s="47"/>
    </row>
    <row r="14735" spans="4:4" x14ac:dyDescent="0.45">
      <c r="D14735" s="47"/>
    </row>
    <row r="14736" spans="4:4" x14ac:dyDescent="0.45">
      <c r="D14736" s="47"/>
    </row>
    <row r="14737" spans="4:4" x14ac:dyDescent="0.45">
      <c r="D14737" s="47"/>
    </row>
    <row r="14738" spans="4:4" x14ac:dyDescent="0.45">
      <c r="D14738" s="47"/>
    </row>
    <row r="14739" spans="4:4" x14ac:dyDescent="0.45">
      <c r="D14739" s="47"/>
    </row>
    <row r="14740" spans="4:4" x14ac:dyDescent="0.45">
      <c r="D14740" s="47"/>
    </row>
    <row r="14741" spans="4:4" x14ac:dyDescent="0.45">
      <c r="D14741" s="47"/>
    </row>
    <row r="14742" spans="4:4" x14ac:dyDescent="0.45">
      <c r="D14742" s="47"/>
    </row>
    <row r="14743" spans="4:4" x14ac:dyDescent="0.45">
      <c r="D14743" s="47"/>
    </row>
    <row r="14744" spans="4:4" x14ac:dyDescent="0.45">
      <c r="D14744" s="47"/>
    </row>
    <row r="14745" spans="4:4" x14ac:dyDescent="0.45">
      <c r="D14745" s="47"/>
    </row>
    <row r="14746" spans="4:4" x14ac:dyDescent="0.45">
      <c r="D14746" s="47"/>
    </row>
    <row r="14747" spans="4:4" x14ac:dyDescent="0.45">
      <c r="D14747" s="47"/>
    </row>
    <row r="14748" spans="4:4" x14ac:dyDescent="0.45">
      <c r="D14748" s="47"/>
    </row>
    <row r="14749" spans="4:4" x14ac:dyDescent="0.45">
      <c r="D14749" s="47"/>
    </row>
    <row r="14750" spans="4:4" x14ac:dyDescent="0.45">
      <c r="D14750" s="47"/>
    </row>
    <row r="14751" spans="4:4" x14ac:dyDescent="0.45">
      <c r="D14751" s="47"/>
    </row>
    <row r="14752" spans="4:4" x14ac:dyDescent="0.45">
      <c r="D14752" s="47"/>
    </row>
    <row r="14753" spans="4:4" x14ac:dyDescent="0.45">
      <c r="D14753" s="47"/>
    </row>
    <row r="14754" spans="4:4" x14ac:dyDescent="0.45">
      <c r="D14754" s="47"/>
    </row>
    <row r="14755" spans="4:4" x14ac:dyDescent="0.45">
      <c r="D14755" s="47"/>
    </row>
    <row r="14756" spans="4:4" x14ac:dyDescent="0.45">
      <c r="D14756" s="47"/>
    </row>
    <row r="14757" spans="4:4" x14ac:dyDescent="0.45">
      <c r="D14757" s="47"/>
    </row>
    <row r="14758" spans="4:4" x14ac:dyDescent="0.45">
      <c r="D14758" s="47"/>
    </row>
    <row r="14759" spans="4:4" x14ac:dyDescent="0.45">
      <c r="D14759" s="47"/>
    </row>
    <row r="14760" spans="4:4" x14ac:dyDescent="0.45">
      <c r="D14760" s="47"/>
    </row>
    <row r="14761" spans="4:4" x14ac:dyDescent="0.45">
      <c r="D14761" s="47"/>
    </row>
    <row r="14762" spans="4:4" x14ac:dyDescent="0.45">
      <c r="D14762" s="47"/>
    </row>
    <row r="14763" spans="4:4" x14ac:dyDescent="0.45">
      <c r="D14763" s="47"/>
    </row>
    <row r="14764" spans="4:4" x14ac:dyDescent="0.45">
      <c r="D14764" s="47"/>
    </row>
    <row r="14765" spans="4:4" x14ac:dyDescent="0.45">
      <c r="D14765" s="47"/>
    </row>
    <row r="14766" spans="4:4" x14ac:dyDescent="0.45">
      <c r="D14766" s="47"/>
    </row>
    <row r="14767" spans="4:4" x14ac:dyDescent="0.45">
      <c r="D14767" s="47"/>
    </row>
    <row r="14768" spans="4:4" x14ac:dyDescent="0.45">
      <c r="D14768" s="47"/>
    </row>
    <row r="14769" spans="4:4" x14ac:dyDescent="0.45">
      <c r="D14769" s="47"/>
    </row>
    <row r="14770" spans="4:4" x14ac:dyDescent="0.45">
      <c r="D14770" s="47"/>
    </row>
    <row r="14771" spans="4:4" x14ac:dyDescent="0.45">
      <c r="D14771" s="47"/>
    </row>
    <row r="14772" spans="4:4" x14ac:dyDescent="0.45">
      <c r="D14772" s="47"/>
    </row>
    <row r="14773" spans="4:4" x14ac:dyDescent="0.45">
      <c r="D14773" s="47"/>
    </row>
    <row r="14774" spans="4:4" x14ac:dyDescent="0.45">
      <c r="D14774" s="47"/>
    </row>
    <row r="14775" spans="4:4" x14ac:dyDescent="0.45">
      <c r="D14775" s="47"/>
    </row>
    <row r="14776" spans="4:4" x14ac:dyDescent="0.45">
      <c r="D14776" s="47"/>
    </row>
    <row r="14777" spans="4:4" x14ac:dyDescent="0.45">
      <c r="D14777" s="47"/>
    </row>
    <row r="14778" spans="4:4" x14ac:dyDescent="0.45">
      <c r="D14778" s="47"/>
    </row>
    <row r="14779" spans="4:4" x14ac:dyDescent="0.45">
      <c r="D14779" s="47"/>
    </row>
    <row r="14780" spans="4:4" x14ac:dyDescent="0.45">
      <c r="D14780" s="47"/>
    </row>
    <row r="14781" spans="4:4" x14ac:dyDescent="0.45">
      <c r="D14781" s="47"/>
    </row>
    <row r="14782" spans="4:4" x14ac:dyDescent="0.45">
      <c r="D14782" s="47"/>
    </row>
    <row r="14783" spans="4:4" x14ac:dyDescent="0.45">
      <c r="D14783" s="47"/>
    </row>
    <row r="14784" spans="4:4" x14ac:dyDescent="0.45">
      <c r="D14784" s="47"/>
    </row>
    <row r="14785" spans="4:4" x14ac:dyDescent="0.45">
      <c r="D14785" s="47"/>
    </row>
    <row r="14786" spans="4:4" x14ac:dyDescent="0.45">
      <c r="D14786" s="47"/>
    </row>
    <row r="14787" spans="4:4" x14ac:dyDescent="0.45">
      <c r="D14787" s="47"/>
    </row>
    <row r="14788" spans="4:4" x14ac:dyDescent="0.45">
      <c r="D14788" s="47"/>
    </row>
    <row r="14789" spans="4:4" x14ac:dyDescent="0.45">
      <c r="D14789" s="47"/>
    </row>
    <row r="14790" spans="4:4" x14ac:dyDescent="0.45">
      <c r="D14790" s="47"/>
    </row>
    <row r="14791" spans="4:4" x14ac:dyDescent="0.45">
      <c r="D14791" s="47"/>
    </row>
    <row r="14792" spans="4:4" x14ac:dyDescent="0.45">
      <c r="D14792" s="47"/>
    </row>
    <row r="14793" spans="4:4" x14ac:dyDescent="0.45">
      <c r="D14793" s="47"/>
    </row>
    <row r="14794" spans="4:4" x14ac:dyDescent="0.45">
      <c r="D14794" s="47"/>
    </row>
    <row r="14795" spans="4:4" x14ac:dyDescent="0.45">
      <c r="D14795" s="47"/>
    </row>
    <row r="14796" spans="4:4" x14ac:dyDescent="0.45">
      <c r="D14796" s="47"/>
    </row>
    <row r="14797" spans="4:4" x14ac:dyDescent="0.45">
      <c r="D14797" s="47"/>
    </row>
    <row r="14798" spans="4:4" x14ac:dyDescent="0.45">
      <c r="D14798" s="47"/>
    </row>
    <row r="14799" spans="4:4" x14ac:dyDescent="0.45">
      <c r="D14799" s="47"/>
    </row>
    <row r="14800" spans="4:4" x14ac:dyDescent="0.45">
      <c r="D14800" s="47"/>
    </row>
    <row r="14801" spans="4:4" x14ac:dyDescent="0.45">
      <c r="D14801" s="47"/>
    </row>
    <row r="14802" spans="4:4" x14ac:dyDescent="0.45">
      <c r="D14802" s="47"/>
    </row>
    <row r="14803" spans="4:4" x14ac:dyDescent="0.45">
      <c r="D14803" s="47"/>
    </row>
    <row r="14804" spans="4:4" x14ac:dyDescent="0.45">
      <c r="D14804" s="47"/>
    </row>
    <row r="14805" spans="4:4" x14ac:dyDescent="0.45">
      <c r="D14805" s="47"/>
    </row>
    <row r="14806" spans="4:4" x14ac:dyDescent="0.45">
      <c r="D14806" s="47"/>
    </row>
    <row r="14807" spans="4:4" x14ac:dyDescent="0.45">
      <c r="D14807" s="47"/>
    </row>
    <row r="14808" spans="4:4" x14ac:dyDescent="0.45">
      <c r="D14808" s="47"/>
    </row>
    <row r="14809" spans="4:4" x14ac:dyDescent="0.45">
      <c r="D14809" s="47"/>
    </row>
    <row r="14810" spans="4:4" x14ac:dyDescent="0.45">
      <c r="D14810" s="47"/>
    </row>
    <row r="14811" spans="4:4" x14ac:dyDescent="0.45">
      <c r="D14811" s="47"/>
    </row>
    <row r="14812" spans="4:4" x14ac:dyDescent="0.45">
      <c r="D14812" s="47"/>
    </row>
    <row r="14813" spans="4:4" x14ac:dyDescent="0.45">
      <c r="D14813" s="47"/>
    </row>
    <row r="14814" spans="4:4" x14ac:dyDescent="0.45">
      <c r="D14814" s="47"/>
    </row>
    <row r="14815" spans="4:4" x14ac:dyDescent="0.45">
      <c r="D14815" s="47"/>
    </row>
    <row r="14816" spans="4:4" x14ac:dyDescent="0.45">
      <c r="D14816" s="47"/>
    </row>
    <row r="14817" spans="4:4" x14ac:dyDescent="0.45">
      <c r="D14817" s="47"/>
    </row>
    <row r="14818" spans="4:4" x14ac:dyDescent="0.45">
      <c r="D14818" s="47"/>
    </row>
    <row r="14819" spans="4:4" x14ac:dyDescent="0.45">
      <c r="D14819" s="47"/>
    </row>
    <row r="14820" spans="4:4" x14ac:dyDescent="0.45">
      <c r="D14820" s="47"/>
    </row>
    <row r="14821" spans="4:4" x14ac:dyDescent="0.45">
      <c r="D14821" s="47"/>
    </row>
    <row r="14822" spans="4:4" x14ac:dyDescent="0.45">
      <c r="D14822" s="47"/>
    </row>
    <row r="14823" spans="4:4" x14ac:dyDescent="0.45">
      <c r="D14823" s="47"/>
    </row>
    <row r="14824" spans="4:4" x14ac:dyDescent="0.45">
      <c r="D14824" s="47"/>
    </row>
    <row r="14825" spans="4:4" x14ac:dyDescent="0.45">
      <c r="D14825" s="47"/>
    </row>
    <row r="14826" spans="4:4" x14ac:dyDescent="0.45">
      <c r="D14826" s="47"/>
    </row>
    <row r="14827" spans="4:4" x14ac:dyDescent="0.45">
      <c r="D14827" s="47"/>
    </row>
    <row r="14828" spans="4:4" x14ac:dyDescent="0.45">
      <c r="D14828" s="47"/>
    </row>
    <row r="14829" spans="4:4" x14ac:dyDescent="0.45">
      <c r="D14829" s="47"/>
    </row>
    <row r="14830" spans="4:4" x14ac:dyDescent="0.45">
      <c r="D14830" s="47"/>
    </row>
    <row r="14831" spans="4:4" x14ac:dyDescent="0.45">
      <c r="D14831" s="47"/>
    </row>
    <row r="14832" spans="4:4" x14ac:dyDescent="0.45">
      <c r="D14832" s="47"/>
    </row>
    <row r="14833" spans="4:4" x14ac:dyDescent="0.45">
      <c r="D14833" s="47"/>
    </row>
    <row r="14834" spans="4:4" x14ac:dyDescent="0.45">
      <c r="D14834" s="47"/>
    </row>
    <row r="14835" spans="4:4" x14ac:dyDescent="0.45">
      <c r="D14835" s="47"/>
    </row>
    <row r="14836" spans="4:4" x14ac:dyDescent="0.45">
      <c r="D14836" s="47"/>
    </row>
    <row r="14837" spans="4:4" x14ac:dyDescent="0.45">
      <c r="D14837" s="47"/>
    </row>
    <row r="14838" spans="4:4" x14ac:dyDescent="0.45">
      <c r="D14838" s="47"/>
    </row>
    <row r="14839" spans="4:4" x14ac:dyDescent="0.45">
      <c r="D14839" s="47"/>
    </row>
    <row r="14840" spans="4:4" x14ac:dyDescent="0.45">
      <c r="D14840" s="47"/>
    </row>
    <row r="14841" spans="4:4" x14ac:dyDescent="0.45">
      <c r="D14841" s="47"/>
    </row>
    <row r="14842" spans="4:4" x14ac:dyDescent="0.45">
      <c r="D14842" s="47"/>
    </row>
    <row r="14843" spans="4:4" x14ac:dyDescent="0.45">
      <c r="D14843" s="47"/>
    </row>
    <row r="14844" spans="4:4" x14ac:dyDescent="0.45">
      <c r="D14844" s="47"/>
    </row>
    <row r="14845" spans="4:4" x14ac:dyDescent="0.45">
      <c r="D14845" s="47"/>
    </row>
    <row r="14846" spans="4:4" x14ac:dyDescent="0.45">
      <c r="D14846" s="47"/>
    </row>
    <row r="14847" spans="4:4" x14ac:dyDescent="0.45">
      <c r="D14847" s="47"/>
    </row>
    <row r="14848" spans="4:4" x14ac:dyDescent="0.45">
      <c r="D14848" s="47"/>
    </row>
    <row r="14849" spans="4:4" x14ac:dyDescent="0.45">
      <c r="D14849" s="47"/>
    </row>
    <row r="14850" spans="4:4" x14ac:dyDescent="0.45">
      <c r="D14850" s="47"/>
    </row>
    <row r="14851" spans="4:4" x14ac:dyDescent="0.45">
      <c r="D14851" s="47"/>
    </row>
    <row r="14852" spans="4:4" x14ac:dyDescent="0.45">
      <c r="D14852" s="47"/>
    </row>
    <row r="14853" spans="4:4" x14ac:dyDescent="0.45">
      <c r="D14853" s="47"/>
    </row>
    <row r="14854" spans="4:4" x14ac:dyDescent="0.45">
      <c r="D14854" s="47"/>
    </row>
    <row r="14855" spans="4:4" x14ac:dyDescent="0.45">
      <c r="D14855" s="47"/>
    </row>
    <row r="14856" spans="4:4" x14ac:dyDescent="0.45">
      <c r="D14856" s="47"/>
    </row>
    <row r="14857" spans="4:4" x14ac:dyDescent="0.45">
      <c r="D14857" s="47"/>
    </row>
    <row r="14858" spans="4:4" x14ac:dyDescent="0.45">
      <c r="D14858" s="47"/>
    </row>
    <row r="14859" spans="4:4" x14ac:dyDescent="0.45">
      <c r="D14859" s="47"/>
    </row>
    <row r="14860" spans="4:4" x14ac:dyDescent="0.45">
      <c r="D14860" s="47"/>
    </row>
    <row r="14861" spans="4:4" x14ac:dyDescent="0.45">
      <c r="D14861" s="47"/>
    </row>
    <row r="14862" spans="4:4" x14ac:dyDescent="0.45">
      <c r="D14862" s="47"/>
    </row>
    <row r="14863" spans="4:4" x14ac:dyDescent="0.45">
      <c r="D14863" s="47"/>
    </row>
    <row r="14864" spans="4:4" x14ac:dyDescent="0.45">
      <c r="D14864" s="47"/>
    </row>
    <row r="14865" spans="4:4" x14ac:dyDescent="0.45">
      <c r="D14865" s="47"/>
    </row>
    <row r="14866" spans="4:4" x14ac:dyDescent="0.45">
      <c r="D14866" s="47"/>
    </row>
    <row r="14867" spans="4:4" x14ac:dyDescent="0.45">
      <c r="D14867" s="47"/>
    </row>
    <row r="14868" spans="4:4" x14ac:dyDescent="0.45">
      <c r="D14868" s="47"/>
    </row>
    <row r="14869" spans="4:4" x14ac:dyDescent="0.45">
      <c r="D14869" s="47"/>
    </row>
    <row r="14870" spans="4:4" x14ac:dyDescent="0.45">
      <c r="D14870" s="47"/>
    </row>
    <row r="14871" spans="4:4" x14ac:dyDescent="0.45">
      <c r="D14871" s="47"/>
    </row>
    <row r="14872" spans="4:4" x14ac:dyDescent="0.45">
      <c r="D14872" s="47"/>
    </row>
    <row r="14873" spans="4:4" x14ac:dyDescent="0.45">
      <c r="D14873" s="47"/>
    </row>
    <row r="14874" spans="4:4" x14ac:dyDescent="0.45">
      <c r="D14874" s="47"/>
    </row>
    <row r="14875" spans="4:4" x14ac:dyDescent="0.45">
      <c r="D14875" s="47"/>
    </row>
    <row r="14876" spans="4:4" x14ac:dyDescent="0.45">
      <c r="D14876" s="47"/>
    </row>
    <row r="14877" spans="4:4" x14ac:dyDescent="0.45">
      <c r="D14877" s="47"/>
    </row>
    <row r="14878" spans="4:4" x14ac:dyDescent="0.45">
      <c r="D14878" s="47"/>
    </row>
    <row r="14879" spans="4:4" x14ac:dyDescent="0.45">
      <c r="D14879" s="47"/>
    </row>
    <row r="14880" spans="4:4" x14ac:dyDescent="0.45">
      <c r="D14880" s="47"/>
    </row>
    <row r="14881" spans="4:4" x14ac:dyDescent="0.45">
      <c r="D14881" s="47"/>
    </row>
    <row r="14882" spans="4:4" x14ac:dyDescent="0.45">
      <c r="D14882" s="47"/>
    </row>
    <row r="14883" spans="4:4" x14ac:dyDescent="0.45">
      <c r="D14883" s="47"/>
    </row>
    <row r="14884" spans="4:4" x14ac:dyDescent="0.45">
      <c r="D14884" s="47"/>
    </row>
    <row r="14885" spans="4:4" x14ac:dyDescent="0.45">
      <c r="D14885" s="47"/>
    </row>
    <row r="14886" spans="4:4" x14ac:dyDescent="0.45">
      <c r="D14886" s="47"/>
    </row>
    <row r="14887" spans="4:4" x14ac:dyDescent="0.45">
      <c r="D14887" s="47"/>
    </row>
    <row r="14888" spans="4:4" x14ac:dyDescent="0.45">
      <c r="D14888" s="47"/>
    </row>
    <row r="14889" spans="4:4" x14ac:dyDescent="0.45">
      <c r="D14889" s="47"/>
    </row>
    <row r="14890" spans="4:4" x14ac:dyDescent="0.45">
      <c r="D14890" s="47"/>
    </row>
    <row r="14891" spans="4:4" x14ac:dyDescent="0.45">
      <c r="D14891" s="47"/>
    </row>
    <row r="14892" spans="4:4" x14ac:dyDescent="0.45">
      <c r="D14892" s="47"/>
    </row>
    <row r="14893" spans="4:4" x14ac:dyDescent="0.45">
      <c r="D14893" s="47"/>
    </row>
    <row r="14894" spans="4:4" x14ac:dyDescent="0.45">
      <c r="D14894" s="47"/>
    </row>
    <row r="14895" spans="4:4" x14ac:dyDescent="0.45">
      <c r="D14895" s="47"/>
    </row>
    <row r="14896" spans="4:4" x14ac:dyDescent="0.45">
      <c r="D14896" s="47"/>
    </row>
    <row r="14897" spans="4:4" x14ac:dyDescent="0.45">
      <c r="D14897" s="47"/>
    </row>
    <row r="14898" spans="4:4" x14ac:dyDescent="0.45">
      <c r="D14898" s="47"/>
    </row>
    <row r="14899" spans="4:4" x14ac:dyDescent="0.45">
      <c r="D14899" s="47"/>
    </row>
    <row r="14900" spans="4:4" x14ac:dyDescent="0.45">
      <c r="D14900" s="47"/>
    </row>
    <row r="14901" spans="4:4" x14ac:dyDescent="0.45">
      <c r="D14901" s="47"/>
    </row>
    <row r="14902" spans="4:4" x14ac:dyDescent="0.45">
      <c r="D14902" s="47"/>
    </row>
    <row r="14903" spans="4:4" x14ac:dyDescent="0.45">
      <c r="D14903" s="47"/>
    </row>
    <row r="14904" spans="4:4" x14ac:dyDescent="0.45">
      <c r="D14904" s="47"/>
    </row>
    <row r="14905" spans="4:4" x14ac:dyDescent="0.45">
      <c r="D14905" s="47"/>
    </row>
    <row r="14906" spans="4:4" x14ac:dyDescent="0.45">
      <c r="D14906" s="47"/>
    </row>
    <row r="14907" spans="4:4" x14ac:dyDescent="0.45">
      <c r="D14907" s="47"/>
    </row>
    <row r="14908" spans="4:4" x14ac:dyDescent="0.45">
      <c r="D14908" s="47"/>
    </row>
    <row r="14909" spans="4:4" x14ac:dyDescent="0.45">
      <c r="D14909" s="47"/>
    </row>
    <row r="14910" spans="4:4" x14ac:dyDescent="0.45">
      <c r="D14910" s="47"/>
    </row>
    <row r="14911" spans="4:4" x14ac:dyDescent="0.45">
      <c r="D14911" s="47"/>
    </row>
    <row r="14912" spans="4:4" x14ac:dyDescent="0.45">
      <c r="D14912" s="47"/>
    </row>
    <row r="14913" spans="4:4" x14ac:dyDescent="0.45">
      <c r="D14913" s="47"/>
    </row>
    <row r="14914" spans="4:4" x14ac:dyDescent="0.45">
      <c r="D14914" s="47"/>
    </row>
    <row r="14915" spans="4:4" x14ac:dyDescent="0.45">
      <c r="D14915" s="47"/>
    </row>
    <row r="14916" spans="4:4" x14ac:dyDescent="0.45">
      <c r="D14916" s="47"/>
    </row>
    <row r="14917" spans="4:4" x14ac:dyDescent="0.45">
      <c r="D14917" s="47"/>
    </row>
    <row r="14918" spans="4:4" x14ac:dyDescent="0.45">
      <c r="D14918" s="47"/>
    </row>
    <row r="14919" spans="4:4" x14ac:dyDescent="0.45">
      <c r="D14919" s="47"/>
    </row>
    <row r="14920" spans="4:4" x14ac:dyDescent="0.45">
      <c r="D14920" s="47"/>
    </row>
    <row r="14921" spans="4:4" x14ac:dyDescent="0.45">
      <c r="D14921" s="47"/>
    </row>
    <row r="14922" spans="4:4" x14ac:dyDescent="0.45">
      <c r="D14922" s="47"/>
    </row>
    <row r="14923" spans="4:4" x14ac:dyDescent="0.45">
      <c r="D14923" s="47"/>
    </row>
    <row r="14924" spans="4:4" x14ac:dyDescent="0.45">
      <c r="D14924" s="47"/>
    </row>
    <row r="14925" spans="4:4" x14ac:dyDescent="0.45">
      <c r="D14925" s="47"/>
    </row>
    <row r="14926" spans="4:4" x14ac:dyDescent="0.45">
      <c r="D14926" s="47"/>
    </row>
    <row r="14927" spans="4:4" x14ac:dyDescent="0.45">
      <c r="D14927" s="47"/>
    </row>
    <row r="14928" spans="4:4" x14ac:dyDescent="0.45">
      <c r="D14928" s="47"/>
    </row>
    <row r="14929" spans="4:4" x14ac:dyDescent="0.45">
      <c r="D14929" s="47"/>
    </row>
    <row r="14930" spans="4:4" x14ac:dyDescent="0.45">
      <c r="D14930" s="47"/>
    </row>
    <row r="14931" spans="4:4" x14ac:dyDescent="0.45">
      <c r="D14931" s="47"/>
    </row>
    <row r="14932" spans="4:4" x14ac:dyDescent="0.45">
      <c r="D14932" s="47"/>
    </row>
    <row r="14933" spans="4:4" x14ac:dyDescent="0.45">
      <c r="D14933" s="47"/>
    </row>
    <row r="14934" spans="4:4" x14ac:dyDescent="0.45">
      <c r="D14934" s="47"/>
    </row>
    <row r="14935" spans="4:4" x14ac:dyDescent="0.45">
      <c r="D14935" s="47"/>
    </row>
    <row r="14936" spans="4:4" x14ac:dyDescent="0.45">
      <c r="D14936" s="47"/>
    </row>
    <row r="14937" spans="4:4" x14ac:dyDescent="0.45">
      <c r="D14937" s="47"/>
    </row>
    <row r="14938" spans="4:4" x14ac:dyDescent="0.45">
      <c r="D14938" s="47"/>
    </row>
    <row r="14939" spans="4:4" x14ac:dyDescent="0.45">
      <c r="D14939" s="47"/>
    </row>
    <row r="14940" spans="4:4" x14ac:dyDescent="0.45">
      <c r="D14940" s="47"/>
    </row>
    <row r="14941" spans="4:4" x14ac:dyDescent="0.45">
      <c r="D14941" s="47"/>
    </row>
    <row r="14942" spans="4:4" x14ac:dyDescent="0.45">
      <c r="D14942" s="47"/>
    </row>
    <row r="14943" spans="4:4" x14ac:dyDescent="0.45">
      <c r="D14943" s="47"/>
    </row>
    <row r="14944" spans="4:4" x14ac:dyDescent="0.45">
      <c r="D14944" s="47"/>
    </row>
    <row r="14945" spans="4:4" x14ac:dyDescent="0.45">
      <c r="D14945" s="47"/>
    </row>
    <row r="14946" spans="4:4" x14ac:dyDescent="0.45">
      <c r="D14946" s="47"/>
    </row>
    <row r="14947" spans="4:4" x14ac:dyDescent="0.45">
      <c r="D14947" s="47"/>
    </row>
    <row r="14948" spans="4:4" x14ac:dyDescent="0.45">
      <c r="D14948" s="47"/>
    </row>
    <row r="14949" spans="4:4" x14ac:dyDescent="0.45">
      <c r="D14949" s="47"/>
    </row>
    <row r="14950" spans="4:4" x14ac:dyDescent="0.45">
      <c r="D14950" s="47"/>
    </row>
    <row r="14951" spans="4:4" x14ac:dyDescent="0.45">
      <c r="D14951" s="47"/>
    </row>
    <row r="14952" spans="4:4" x14ac:dyDescent="0.45">
      <c r="D14952" s="47"/>
    </row>
    <row r="14953" spans="4:4" x14ac:dyDescent="0.45">
      <c r="D14953" s="47"/>
    </row>
    <row r="14954" spans="4:4" x14ac:dyDescent="0.45">
      <c r="D14954" s="47"/>
    </row>
    <row r="14955" spans="4:4" x14ac:dyDescent="0.45">
      <c r="D14955" s="47"/>
    </row>
    <row r="14956" spans="4:4" x14ac:dyDescent="0.45">
      <c r="D14956" s="47"/>
    </row>
    <row r="14957" spans="4:4" x14ac:dyDescent="0.45">
      <c r="D14957" s="47"/>
    </row>
    <row r="14958" spans="4:4" x14ac:dyDescent="0.45">
      <c r="D14958" s="47"/>
    </row>
    <row r="14959" spans="4:4" x14ac:dyDescent="0.45">
      <c r="D14959" s="47"/>
    </row>
    <row r="14960" spans="4:4" x14ac:dyDescent="0.45">
      <c r="D14960" s="47"/>
    </row>
    <row r="14961" spans="4:4" x14ac:dyDescent="0.45">
      <c r="D14961" s="47"/>
    </row>
    <row r="14962" spans="4:4" x14ac:dyDescent="0.45">
      <c r="D14962" s="47"/>
    </row>
    <row r="14963" spans="4:4" x14ac:dyDescent="0.45">
      <c r="D14963" s="47"/>
    </row>
    <row r="14964" spans="4:4" x14ac:dyDescent="0.45">
      <c r="D14964" s="47"/>
    </row>
    <row r="14965" spans="4:4" x14ac:dyDescent="0.45">
      <c r="D14965" s="47"/>
    </row>
    <row r="14966" spans="4:4" x14ac:dyDescent="0.45">
      <c r="D14966" s="47"/>
    </row>
    <row r="14967" spans="4:4" x14ac:dyDescent="0.45">
      <c r="D14967" s="47"/>
    </row>
    <row r="14968" spans="4:4" x14ac:dyDescent="0.45">
      <c r="D14968" s="47"/>
    </row>
    <row r="14969" spans="4:4" x14ac:dyDescent="0.45">
      <c r="D14969" s="47"/>
    </row>
    <row r="14970" spans="4:4" x14ac:dyDescent="0.45">
      <c r="D14970" s="47"/>
    </row>
    <row r="14971" spans="4:4" x14ac:dyDescent="0.45">
      <c r="D14971" s="47"/>
    </row>
    <row r="14972" spans="4:4" x14ac:dyDescent="0.45">
      <c r="D14972" s="47"/>
    </row>
    <row r="14973" spans="4:4" x14ac:dyDescent="0.45">
      <c r="D14973" s="47"/>
    </row>
    <row r="14974" spans="4:4" x14ac:dyDescent="0.45">
      <c r="D14974" s="47"/>
    </row>
    <row r="14975" spans="4:4" x14ac:dyDescent="0.45">
      <c r="D14975" s="47"/>
    </row>
    <row r="14976" spans="4:4" x14ac:dyDescent="0.45">
      <c r="D14976" s="47"/>
    </row>
    <row r="14977" spans="4:4" x14ac:dyDescent="0.45">
      <c r="D14977" s="47"/>
    </row>
    <row r="14978" spans="4:4" x14ac:dyDescent="0.45">
      <c r="D14978" s="47"/>
    </row>
    <row r="14979" spans="4:4" x14ac:dyDescent="0.45">
      <c r="D14979" s="47"/>
    </row>
    <row r="14980" spans="4:4" x14ac:dyDescent="0.45">
      <c r="D14980" s="47"/>
    </row>
    <row r="14981" spans="4:4" x14ac:dyDescent="0.45">
      <c r="D14981" s="47"/>
    </row>
    <row r="14982" spans="4:4" x14ac:dyDescent="0.45">
      <c r="D14982" s="47"/>
    </row>
    <row r="14983" spans="4:4" x14ac:dyDescent="0.45">
      <c r="D14983" s="47"/>
    </row>
    <row r="14984" spans="4:4" x14ac:dyDescent="0.45">
      <c r="D14984" s="47"/>
    </row>
    <row r="14985" spans="4:4" x14ac:dyDescent="0.45">
      <c r="D14985" s="47"/>
    </row>
    <row r="14986" spans="4:4" x14ac:dyDescent="0.45">
      <c r="D14986" s="47"/>
    </row>
    <row r="14987" spans="4:4" x14ac:dyDescent="0.45">
      <c r="D14987" s="47"/>
    </row>
    <row r="14988" spans="4:4" x14ac:dyDescent="0.45">
      <c r="D14988" s="47"/>
    </row>
    <row r="14989" spans="4:4" x14ac:dyDescent="0.45">
      <c r="D14989" s="47"/>
    </row>
    <row r="14990" spans="4:4" x14ac:dyDescent="0.45">
      <c r="D14990" s="47"/>
    </row>
    <row r="14991" spans="4:4" x14ac:dyDescent="0.45">
      <c r="D14991" s="47"/>
    </row>
    <row r="14992" spans="4:4" x14ac:dyDescent="0.45">
      <c r="D14992" s="47"/>
    </row>
    <row r="14993" spans="4:4" x14ac:dyDescent="0.45">
      <c r="D14993" s="47"/>
    </row>
    <row r="14994" spans="4:4" x14ac:dyDescent="0.45">
      <c r="D14994" s="47"/>
    </row>
    <row r="14995" spans="4:4" x14ac:dyDescent="0.45">
      <c r="D14995" s="47"/>
    </row>
    <row r="14996" spans="4:4" x14ac:dyDescent="0.45">
      <c r="D14996" s="47"/>
    </row>
    <row r="14997" spans="4:4" x14ac:dyDescent="0.45">
      <c r="D14997" s="47"/>
    </row>
    <row r="14998" spans="4:4" x14ac:dyDescent="0.45">
      <c r="D14998" s="47"/>
    </row>
    <row r="14999" spans="4:4" x14ac:dyDescent="0.45">
      <c r="D14999" s="47"/>
    </row>
    <row r="15000" spans="4:4" x14ac:dyDescent="0.45">
      <c r="D15000" s="47"/>
    </row>
    <row r="15001" spans="4:4" x14ac:dyDescent="0.45">
      <c r="D15001" s="47"/>
    </row>
    <row r="15002" spans="4:4" x14ac:dyDescent="0.45">
      <c r="D15002" s="47"/>
    </row>
    <row r="15003" spans="4:4" x14ac:dyDescent="0.45">
      <c r="D15003" s="47"/>
    </row>
    <row r="15004" spans="4:4" x14ac:dyDescent="0.45">
      <c r="D15004" s="47"/>
    </row>
    <row r="15005" spans="4:4" x14ac:dyDescent="0.45">
      <c r="D15005" s="47"/>
    </row>
    <row r="15006" spans="4:4" x14ac:dyDescent="0.45">
      <c r="D15006" s="47"/>
    </row>
    <row r="15007" spans="4:4" x14ac:dyDescent="0.45">
      <c r="D15007" s="47"/>
    </row>
    <row r="15008" spans="4:4" x14ac:dyDescent="0.45">
      <c r="D15008" s="47"/>
    </row>
    <row r="15009" spans="4:4" x14ac:dyDescent="0.45">
      <c r="D15009" s="47"/>
    </row>
    <row r="15010" spans="4:4" x14ac:dyDescent="0.45">
      <c r="D15010" s="47"/>
    </row>
    <row r="15011" spans="4:4" x14ac:dyDescent="0.45">
      <c r="D15011" s="47"/>
    </row>
    <row r="15012" spans="4:4" x14ac:dyDescent="0.45">
      <c r="D15012" s="47"/>
    </row>
    <row r="15013" spans="4:4" x14ac:dyDescent="0.45">
      <c r="D15013" s="47"/>
    </row>
    <row r="15014" spans="4:4" x14ac:dyDescent="0.45">
      <c r="D15014" s="47"/>
    </row>
    <row r="15015" spans="4:4" x14ac:dyDescent="0.45">
      <c r="D15015" s="47"/>
    </row>
    <row r="15016" spans="4:4" x14ac:dyDescent="0.45">
      <c r="D15016" s="47"/>
    </row>
    <row r="15017" spans="4:4" x14ac:dyDescent="0.45">
      <c r="D15017" s="47"/>
    </row>
    <row r="15018" spans="4:4" x14ac:dyDescent="0.45">
      <c r="D15018" s="47"/>
    </row>
    <row r="15019" spans="4:4" x14ac:dyDescent="0.45">
      <c r="D15019" s="47"/>
    </row>
    <row r="15020" spans="4:4" x14ac:dyDescent="0.45">
      <c r="D15020" s="47"/>
    </row>
    <row r="15021" spans="4:4" x14ac:dyDescent="0.45">
      <c r="D15021" s="47"/>
    </row>
    <row r="15022" spans="4:4" x14ac:dyDescent="0.45">
      <c r="D15022" s="47"/>
    </row>
    <row r="15023" spans="4:4" x14ac:dyDescent="0.45">
      <c r="D15023" s="47"/>
    </row>
    <row r="15024" spans="4:4" x14ac:dyDescent="0.45">
      <c r="D15024" s="47"/>
    </row>
    <row r="15025" spans="4:4" x14ac:dyDescent="0.45">
      <c r="D15025" s="47"/>
    </row>
    <row r="15026" spans="4:4" x14ac:dyDescent="0.45">
      <c r="D15026" s="47"/>
    </row>
    <row r="15027" spans="4:4" x14ac:dyDescent="0.45">
      <c r="D15027" s="47"/>
    </row>
    <row r="15028" spans="4:4" x14ac:dyDescent="0.45">
      <c r="D15028" s="47"/>
    </row>
    <row r="15029" spans="4:4" x14ac:dyDescent="0.45">
      <c r="D15029" s="47"/>
    </row>
    <row r="15030" spans="4:4" x14ac:dyDescent="0.45">
      <c r="D15030" s="47"/>
    </row>
    <row r="15031" spans="4:4" x14ac:dyDescent="0.45">
      <c r="D15031" s="47"/>
    </row>
    <row r="15032" spans="4:4" x14ac:dyDescent="0.45">
      <c r="D15032" s="47"/>
    </row>
    <row r="15033" spans="4:4" x14ac:dyDescent="0.45">
      <c r="D15033" s="47"/>
    </row>
    <row r="15034" spans="4:4" x14ac:dyDescent="0.45">
      <c r="D15034" s="47"/>
    </row>
    <row r="15035" spans="4:4" x14ac:dyDescent="0.45">
      <c r="D15035" s="47"/>
    </row>
    <row r="15036" spans="4:4" x14ac:dyDescent="0.45">
      <c r="D15036" s="47"/>
    </row>
    <row r="15037" spans="4:4" x14ac:dyDescent="0.45">
      <c r="D15037" s="47"/>
    </row>
    <row r="15038" spans="4:4" x14ac:dyDescent="0.45">
      <c r="D15038" s="47"/>
    </row>
    <row r="15039" spans="4:4" x14ac:dyDescent="0.45">
      <c r="D15039" s="47"/>
    </row>
    <row r="15040" spans="4:4" x14ac:dyDescent="0.45">
      <c r="D15040" s="47"/>
    </row>
    <row r="15041" spans="4:4" x14ac:dyDescent="0.45">
      <c r="D15041" s="47"/>
    </row>
    <row r="15042" spans="4:4" x14ac:dyDescent="0.45">
      <c r="D15042" s="47"/>
    </row>
    <row r="15043" spans="4:4" x14ac:dyDescent="0.45">
      <c r="D15043" s="47"/>
    </row>
    <row r="15044" spans="4:4" x14ac:dyDescent="0.45">
      <c r="D15044" s="47"/>
    </row>
    <row r="15045" spans="4:4" x14ac:dyDescent="0.45">
      <c r="D15045" s="47"/>
    </row>
    <row r="15046" spans="4:4" x14ac:dyDescent="0.45">
      <c r="D15046" s="47"/>
    </row>
    <row r="15047" spans="4:4" x14ac:dyDescent="0.45">
      <c r="D15047" s="47"/>
    </row>
    <row r="15048" spans="4:4" x14ac:dyDescent="0.45">
      <c r="D15048" s="47"/>
    </row>
    <row r="15049" spans="4:4" x14ac:dyDescent="0.45">
      <c r="D15049" s="47"/>
    </row>
    <row r="15050" spans="4:4" x14ac:dyDescent="0.45">
      <c r="D15050" s="47"/>
    </row>
    <row r="15051" spans="4:4" x14ac:dyDescent="0.45">
      <c r="D15051" s="47"/>
    </row>
    <row r="15052" spans="4:4" x14ac:dyDescent="0.45">
      <c r="D15052" s="47"/>
    </row>
    <row r="15053" spans="4:4" x14ac:dyDescent="0.45">
      <c r="D15053" s="47"/>
    </row>
    <row r="15054" spans="4:4" x14ac:dyDescent="0.45">
      <c r="D15054" s="47"/>
    </row>
    <row r="15055" spans="4:4" x14ac:dyDescent="0.45">
      <c r="D15055" s="47"/>
    </row>
    <row r="15056" spans="4:4" x14ac:dyDescent="0.45">
      <c r="D15056" s="47"/>
    </row>
    <row r="15057" spans="4:4" x14ac:dyDescent="0.45">
      <c r="D15057" s="47"/>
    </row>
    <row r="15058" spans="4:4" x14ac:dyDescent="0.45">
      <c r="D15058" s="47"/>
    </row>
    <row r="15059" spans="4:4" x14ac:dyDescent="0.45">
      <c r="D15059" s="47"/>
    </row>
    <row r="15060" spans="4:4" x14ac:dyDescent="0.45">
      <c r="D15060" s="47"/>
    </row>
    <row r="15061" spans="4:4" x14ac:dyDescent="0.45">
      <c r="D15061" s="47"/>
    </row>
    <row r="15062" spans="4:4" x14ac:dyDescent="0.45">
      <c r="D15062" s="47"/>
    </row>
    <row r="15063" spans="4:4" x14ac:dyDescent="0.45">
      <c r="D15063" s="47"/>
    </row>
    <row r="15064" spans="4:4" x14ac:dyDescent="0.45">
      <c r="D15064" s="47"/>
    </row>
    <row r="15065" spans="4:4" x14ac:dyDescent="0.45">
      <c r="D15065" s="47"/>
    </row>
    <row r="15066" spans="4:4" x14ac:dyDescent="0.45">
      <c r="D15066" s="47"/>
    </row>
    <row r="15067" spans="4:4" x14ac:dyDescent="0.45">
      <c r="D15067" s="47"/>
    </row>
    <row r="15068" spans="4:4" x14ac:dyDescent="0.45">
      <c r="D15068" s="47"/>
    </row>
    <row r="15069" spans="4:4" x14ac:dyDescent="0.45">
      <c r="D15069" s="47"/>
    </row>
    <row r="15070" spans="4:4" x14ac:dyDescent="0.45">
      <c r="D15070" s="47"/>
    </row>
    <row r="15071" spans="4:4" x14ac:dyDescent="0.45">
      <c r="D15071" s="47"/>
    </row>
    <row r="15072" spans="4:4" x14ac:dyDescent="0.45">
      <c r="D15072" s="47"/>
    </row>
    <row r="15073" spans="4:4" x14ac:dyDescent="0.45">
      <c r="D15073" s="47"/>
    </row>
    <row r="15074" spans="4:4" x14ac:dyDescent="0.45">
      <c r="D15074" s="47"/>
    </row>
    <row r="15075" spans="4:4" x14ac:dyDescent="0.45">
      <c r="D15075" s="47"/>
    </row>
    <row r="15076" spans="4:4" x14ac:dyDescent="0.45">
      <c r="D15076" s="47"/>
    </row>
    <row r="15077" spans="4:4" x14ac:dyDescent="0.45">
      <c r="D15077" s="47"/>
    </row>
    <row r="15078" spans="4:4" x14ac:dyDescent="0.45">
      <c r="D15078" s="47"/>
    </row>
    <row r="15079" spans="4:4" x14ac:dyDescent="0.45">
      <c r="D15079" s="47"/>
    </row>
    <row r="15080" spans="4:4" x14ac:dyDescent="0.45">
      <c r="D15080" s="47"/>
    </row>
    <row r="15081" spans="4:4" x14ac:dyDescent="0.45">
      <c r="D15081" s="47"/>
    </row>
    <row r="15082" spans="4:4" x14ac:dyDescent="0.45">
      <c r="D15082" s="47"/>
    </row>
    <row r="15083" spans="4:4" x14ac:dyDescent="0.45">
      <c r="D15083" s="47"/>
    </row>
    <row r="15084" spans="4:4" x14ac:dyDescent="0.45">
      <c r="D15084" s="47"/>
    </row>
    <row r="15085" spans="4:4" x14ac:dyDescent="0.45">
      <c r="D15085" s="47"/>
    </row>
    <row r="15086" spans="4:4" x14ac:dyDescent="0.45">
      <c r="D15086" s="47"/>
    </row>
    <row r="15087" spans="4:4" x14ac:dyDescent="0.45">
      <c r="D15087" s="47"/>
    </row>
    <row r="15088" spans="4:4" x14ac:dyDescent="0.45">
      <c r="D15088" s="47"/>
    </row>
    <row r="15089" spans="4:4" x14ac:dyDescent="0.45">
      <c r="D15089" s="47"/>
    </row>
    <row r="15090" spans="4:4" x14ac:dyDescent="0.45">
      <c r="D15090" s="47"/>
    </row>
    <row r="15091" spans="4:4" x14ac:dyDescent="0.45">
      <c r="D15091" s="47"/>
    </row>
    <row r="15092" spans="4:4" x14ac:dyDescent="0.45">
      <c r="D15092" s="47"/>
    </row>
    <row r="15093" spans="4:4" x14ac:dyDescent="0.45">
      <c r="D15093" s="47"/>
    </row>
    <row r="15094" spans="4:4" x14ac:dyDescent="0.45">
      <c r="D15094" s="47"/>
    </row>
    <row r="15095" spans="4:4" x14ac:dyDescent="0.45">
      <c r="D15095" s="47"/>
    </row>
    <row r="15096" spans="4:4" x14ac:dyDescent="0.45">
      <c r="D15096" s="47"/>
    </row>
    <row r="15097" spans="4:4" x14ac:dyDescent="0.45">
      <c r="D15097" s="47"/>
    </row>
    <row r="15098" spans="4:4" x14ac:dyDescent="0.45">
      <c r="D15098" s="47"/>
    </row>
    <row r="15099" spans="4:4" x14ac:dyDescent="0.45">
      <c r="D15099" s="47"/>
    </row>
    <row r="15100" spans="4:4" x14ac:dyDescent="0.45">
      <c r="D15100" s="47"/>
    </row>
    <row r="15101" spans="4:4" x14ac:dyDescent="0.45">
      <c r="D15101" s="47"/>
    </row>
    <row r="15102" spans="4:4" x14ac:dyDescent="0.45">
      <c r="D15102" s="47"/>
    </row>
    <row r="15103" spans="4:4" x14ac:dyDescent="0.45">
      <c r="D15103" s="47"/>
    </row>
    <row r="15104" spans="4:4" x14ac:dyDescent="0.45">
      <c r="D15104" s="47"/>
    </row>
    <row r="15105" spans="4:4" x14ac:dyDescent="0.45">
      <c r="D15105" s="47"/>
    </row>
    <row r="15106" spans="4:4" x14ac:dyDescent="0.45">
      <c r="D15106" s="47"/>
    </row>
    <row r="15107" spans="4:4" x14ac:dyDescent="0.45">
      <c r="D15107" s="47"/>
    </row>
    <row r="15108" spans="4:4" x14ac:dyDescent="0.45">
      <c r="D15108" s="47"/>
    </row>
    <row r="15109" spans="4:4" x14ac:dyDescent="0.45">
      <c r="D15109" s="47"/>
    </row>
    <row r="15110" spans="4:4" x14ac:dyDescent="0.45">
      <c r="D15110" s="47"/>
    </row>
    <row r="15111" spans="4:4" x14ac:dyDescent="0.45">
      <c r="D15111" s="47"/>
    </row>
    <row r="15112" spans="4:4" x14ac:dyDescent="0.45">
      <c r="D15112" s="47"/>
    </row>
    <row r="15113" spans="4:4" x14ac:dyDescent="0.45">
      <c r="D15113" s="47"/>
    </row>
    <row r="15114" spans="4:4" x14ac:dyDescent="0.45">
      <c r="D15114" s="47"/>
    </row>
    <row r="15115" spans="4:4" x14ac:dyDescent="0.45">
      <c r="D15115" s="47"/>
    </row>
    <row r="15116" spans="4:4" x14ac:dyDescent="0.45">
      <c r="D15116" s="47"/>
    </row>
    <row r="15117" spans="4:4" x14ac:dyDescent="0.45">
      <c r="D15117" s="47"/>
    </row>
    <row r="15118" spans="4:4" x14ac:dyDescent="0.45">
      <c r="D15118" s="47"/>
    </row>
    <row r="15119" spans="4:4" x14ac:dyDescent="0.45">
      <c r="D15119" s="47"/>
    </row>
    <row r="15120" spans="4:4" x14ac:dyDescent="0.45">
      <c r="D15120" s="47"/>
    </row>
    <row r="15121" spans="4:4" x14ac:dyDescent="0.45">
      <c r="D15121" s="47"/>
    </row>
    <row r="15122" spans="4:4" x14ac:dyDescent="0.45">
      <c r="D15122" s="47"/>
    </row>
    <row r="15123" spans="4:4" x14ac:dyDescent="0.45">
      <c r="D15123" s="47"/>
    </row>
    <row r="15124" spans="4:4" x14ac:dyDescent="0.45">
      <c r="D15124" s="47"/>
    </row>
    <row r="15125" spans="4:4" x14ac:dyDescent="0.45">
      <c r="D15125" s="47"/>
    </row>
    <row r="15126" spans="4:4" x14ac:dyDescent="0.45">
      <c r="D15126" s="47"/>
    </row>
    <row r="15127" spans="4:4" x14ac:dyDescent="0.45">
      <c r="D15127" s="47"/>
    </row>
    <row r="15128" spans="4:4" x14ac:dyDescent="0.45">
      <c r="D15128" s="47"/>
    </row>
    <row r="15129" spans="4:4" x14ac:dyDescent="0.45">
      <c r="D15129" s="47"/>
    </row>
    <row r="15130" spans="4:4" x14ac:dyDescent="0.45">
      <c r="D15130" s="47"/>
    </row>
    <row r="15131" spans="4:4" x14ac:dyDescent="0.45">
      <c r="D15131" s="47"/>
    </row>
    <row r="15132" spans="4:4" x14ac:dyDescent="0.45">
      <c r="D15132" s="47"/>
    </row>
    <row r="15133" spans="4:4" x14ac:dyDescent="0.45">
      <c r="D15133" s="47"/>
    </row>
    <row r="15134" spans="4:4" x14ac:dyDescent="0.45">
      <c r="D15134" s="47"/>
    </row>
    <row r="15135" spans="4:4" x14ac:dyDescent="0.45">
      <c r="D15135" s="47"/>
    </row>
    <row r="15136" spans="4:4" x14ac:dyDescent="0.45">
      <c r="D15136" s="47"/>
    </row>
    <row r="15137" spans="4:4" x14ac:dyDescent="0.45">
      <c r="D15137" s="47"/>
    </row>
    <row r="15138" spans="4:4" x14ac:dyDescent="0.45">
      <c r="D15138" s="47"/>
    </row>
    <row r="15139" spans="4:4" x14ac:dyDescent="0.45">
      <c r="D15139" s="47"/>
    </row>
    <row r="15140" spans="4:4" x14ac:dyDescent="0.45">
      <c r="D15140" s="47"/>
    </row>
    <row r="15141" spans="4:4" x14ac:dyDescent="0.45">
      <c r="D15141" s="47"/>
    </row>
    <row r="15142" spans="4:4" x14ac:dyDescent="0.45">
      <c r="D15142" s="47"/>
    </row>
    <row r="15143" spans="4:4" x14ac:dyDescent="0.45">
      <c r="D15143" s="47"/>
    </row>
    <row r="15144" spans="4:4" x14ac:dyDescent="0.45">
      <c r="D15144" s="47"/>
    </row>
    <row r="15145" spans="4:4" x14ac:dyDescent="0.45">
      <c r="D15145" s="47"/>
    </row>
    <row r="15146" spans="4:4" x14ac:dyDescent="0.45">
      <c r="D15146" s="47"/>
    </row>
    <row r="15147" spans="4:4" x14ac:dyDescent="0.45">
      <c r="D15147" s="47"/>
    </row>
    <row r="15148" spans="4:4" x14ac:dyDescent="0.45">
      <c r="D15148" s="47"/>
    </row>
    <row r="15149" spans="4:4" x14ac:dyDescent="0.45">
      <c r="D15149" s="47"/>
    </row>
    <row r="15150" spans="4:4" x14ac:dyDescent="0.45">
      <c r="D15150" s="47"/>
    </row>
    <row r="15151" spans="4:4" x14ac:dyDescent="0.45">
      <c r="D15151" s="47"/>
    </row>
    <row r="15152" spans="4:4" x14ac:dyDescent="0.45">
      <c r="D15152" s="47"/>
    </row>
    <row r="15153" spans="4:4" x14ac:dyDescent="0.45">
      <c r="D15153" s="47"/>
    </row>
    <row r="15154" spans="4:4" x14ac:dyDescent="0.45">
      <c r="D15154" s="47"/>
    </row>
    <row r="15155" spans="4:4" x14ac:dyDescent="0.45">
      <c r="D15155" s="47"/>
    </row>
    <row r="15156" spans="4:4" x14ac:dyDescent="0.45">
      <c r="D15156" s="47"/>
    </row>
    <row r="15157" spans="4:4" x14ac:dyDescent="0.45">
      <c r="D15157" s="47"/>
    </row>
    <row r="15158" spans="4:4" x14ac:dyDescent="0.45">
      <c r="D15158" s="47"/>
    </row>
    <row r="15159" spans="4:4" x14ac:dyDescent="0.45">
      <c r="D15159" s="47"/>
    </row>
    <row r="15160" spans="4:4" x14ac:dyDescent="0.45">
      <c r="D15160" s="47"/>
    </row>
    <row r="15161" spans="4:4" x14ac:dyDescent="0.45">
      <c r="D15161" s="47"/>
    </row>
    <row r="15162" spans="4:4" x14ac:dyDescent="0.45">
      <c r="D15162" s="47"/>
    </row>
    <row r="15163" spans="4:4" x14ac:dyDescent="0.45">
      <c r="D15163" s="47"/>
    </row>
    <row r="15164" spans="4:4" x14ac:dyDescent="0.45">
      <c r="D15164" s="47"/>
    </row>
    <row r="15165" spans="4:4" x14ac:dyDescent="0.45">
      <c r="D15165" s="47"/>
    </row>
    <row r="15166" spans="4:4" x14ac:dyDescent="0.45">
      <c r="D15166" s="47"/>
    </row>
    <row r="15167" spans="4:4" x14ac:dyDescent="0.45">
      <c r="D15167" s="47"/>
    </row>
    <row r="15168" spans="4:4" x14ac:dyDescent="0.45">
      <c r="D15168" s="47"/>
    </row>
    <row r="15169" spans="4:4" x14ac:dyDescent="0.45">
      <c r="D15169" s="47"/>
    </row>
    <row r="15170" spans="4:4" x14ac:dyDescent="0.45">
      <c r="D15170" s="47"/>
    </row>
    <row r="15171" spans="4:4" x14ac:dyDescent="0.45">
      <c r="D15171" s="47"/>
    </row>
    <row r="15172" spans="4:4" x14ac:dyDescent="0.45">
      <c r="D15172" s="47"/>
    </row>
    <row r="15173" spans="4:4" x14ac:dyDescent="0.45">
      <c r="D15173" s="47"/>
    </row>
    <row r="15174" spans="4:4" x14ac:dyDescent="0.45">
      <c r="D15174" s="47"/>
    </row>
    <row r="15175" spans="4:4" x14ac:dyDescent="0.45">
      <c r="D15175" s="47"/>
    </row>
    <row r="15176" spans="4:4" x14ac:dyDescent="0.45">
      <c r="D15176" s="47"/>
    </row>
    <row r="15177" spans="4:4" x14ac:dyDescent="0.45">
      <c r="D15177" s="47"/>
    </row>
    <row r="15178" spans="4:4" x14ac:dyDescent="0.45">
      <c r="D15178" s="47"/>
    </row>
    <row r="15179" spans="4:4" x14ac:dyDescent="0.45">
      <c r="D15179" s="47"/>
    </row>
    <row r="15180" spans="4:4" x14ac:dyDescent="0.45">
      <c r="D15180" s="47"/>
    </row>
    <row r="15181" spans="4:4" x14ac:dyDescent="0.45">
      <c r="D15181" s="47"/>
    </row>
    <row r="15182" spans="4:4" x14ac:dyDescent="0.45">
      <c r="D15182" s="47"/>
    </row>
    <row r="15183" spans="4:4" x14ac:dyDescent="0.45">
      <c r="D15183" s="47"/>
    </row>
    <row r="15184" spans="4:4" x14ac:dyDescent="0.45">
      <c r="D15184" s="47"/>
    </row>
    <row r="15185" spans="4:4" x14ac:dyDescent="0.45">
      <c r="D15185" s="47"/>
    </row>
    <row r="15186" spans="4:4" x14ac:dyDescent="0.45">
      <c r="D15186" s="47"/>
    </row>
    <row r="15187" spans="4:4" x14ac:dyDescent="0.45">
      <c r="D15187" s="47"/>
    </row>
    <row r="15188" spans="4:4" x14ac:dyDescent="0.45">
      <c r="D15188" s="47"/>
    </row>
    <row r="15189" spans="4:4" x14ac:dyDescent="0.45">
      <c r="D15189" s="47"/>
    </row>
    <row r="15190" spans="4:4" x14ac:dyDescent="0.45">
      <c r="D15190" s="47"/>
    </row>
    <row r="15191" spans="4:4" x14ac:dyDescent="0.45">
      <c r="D15191" s="47"/>
    </row>
    <row r="15192" spans="4:4" x14ac:dyDescent="0.45">
      <c r="D15192" s="47"/>
    </row>
    <row r="15193" spans="4:4" x14ac:dyDescent="0.45">
      <c r="D15193" s="47"/>
    </row>
    <row r="15194" spans="4:4" x14ac:dyDescent="0.45">
      <c r="D15194" s="47"/>
    </row>
    <row r="15195" spans="4:4" x14ac:dyDescent="0.45">
      <c r="D15195" s="47"/>
    </row>
    <row r="15196" spans="4:4" x14ac:dyDescent="0.45">
      <c r="D15196" s="47"/>
    </row>
    <row r="15197" spans="4:4" x14ac:dyDescent="0.45">
      <c r="D15197" s="47"/>
    </row>
    <row r="15198" spans="4:4" x14ac:dyDescent="0.45">
      <c r="D15198" s="47"/>
    </row>
    <row r="15199" spans="4:4" x14ac:dyDescent="0.45">
      <c r="D15199" s="47"/>
    </row>
    <row r="15200" spans="4:4" x14ac:dyDescent="0.45">
      <c r="D15200" s="47"/>
    </row>
    <row r="15201" spans="4:4" x14ac:dyDescent="0.45">
      <c r="D15201" s="47"/>
    </row>
    <row r="15202" spans="4:4" x14ac:dyDescent="0.45">
      <c r="D15202" s="47"/>
    </row>
    <row r="15203" spans="4:4" x14ac:dyDescent="0.45">
      <c r="D15203" s="47"/>
    </row>
    <row r="15204" spans="4:4" x14ac:dyDescent="0.45">
      <c r="D15204" s="47"/>
    </row>
    <row r="15205" spans="4:4" x14ac:dyDescent="0.45">
      <c r="D15205" s="47"/>
    </row>
    <row r="15206" spans="4:4" x14ac:dyDescent="0.45">
      <c r="D15206" s="47"/>
    </row>
    <row r="15207" spans="4:4" x14ac:dyDescent="0.45">
      <c r="D15207" s="47"/>
    </row>
    <row r="15208" spans="4:4" x14ac:dyDescent="0.45">
      <c r="D15208" s="47"/>
    </row>
    <row r="15209" spans="4:4" x14ac:dyDescent="0.45">
      <c r="D15209" s="47"/>
    </row>
    <row r="15210" spans="4:4" x14ac:dyDescent="0.45">
      <c r="D15210" s="47"/>
    </row>
    <row r="15211" spans="4:4" x14ac:dyDescent="0.45">
      <c r="D15211" s="47"/>
    </row>
    <row r="15212" spans="4:4" x14ac:dyDescent="0.45">
      <c r="D15212" s="47"/>
    </row>
    <row r="15213" spans="4:4" x14ac:dyDescent="0.45">
      <c r="D15213" s="47"/>
    </row>
    <row r="15214" spans="4:4" x14ac:dyDescent="0.45">
      <c r="D15214" s="47"/>
    </row>
    <row r="15215" spans="4:4" x14ac:dyDescent="0.45">
      <c r="D15215" s="47"/>
    </row>
    <row r="15216" spans="4:4" x14ac:dyDescent="0.45">
      <c r="D15216" s="47"/>
    </row>
    <row r="15217" spans="4:4" x14ac:dyDescent="0.45">
      <c r="D15217" s="47"/>
    </row>
    <row r="15218" spans="4:4" x14ac:dyDescent="0.45">
      <c r="D15218" s="47"/>
    </row>
    <row r="15219" spans="4:4" x14ac:dyDescent="0.45">
      <c r="D15219" s="47"/>
    </row>
    <row r="15220" spans="4:4" x14ac:dyDescent="0.45">
      <c r="D15220" s="47"/>
    </row>
    <row r="15221" spans="4:4" x14ac:dyDescent="0.45">
      <c r="D15221" s="47"/>
    </row>
    <row r="15222" spans="4:4" x14ac:dyDescent="0.45">
      <c r="D15222" s="47"/>
    </row>
    <row r="15223" spans="4:4" x14ac:dyDescent="0.45">
      <c r="D15223" s="47"/>
    </row>
    <row r="15224" spans="4:4" x14ac:dyDescent="0.45">
      <c r="D15224" s="47"/>
    </row>
    <row r="15225" spans="4:4" x14ac:dyDescent="0.45">
      <c r="D15225" s="47"/>
    </row>
    <row r="15226" spans="4:4" x14ac:dyDescent="0.45">
      <c r="D15226" s="47"/>
    </row>
    <row r="15227" spans="4:4" x14ac:dyDescent="0.45">
      <c r="D15227" s="47"/>
    </row>
    <row r="15228" spans="4:4" x14ac:dyDescent="0.45">
      <c r="D15228" s="47"/>
    </row>
    <row r="15229" spans="4:4" x14ac:dyDescent="0.45">
      <c r="D15229" s="47"/>
    </row>
    <row r="15230" spans="4:4" x14ac:dyDescent="0.45">
      <c r="D15230" s="47"/>
    </row>
    <row r="15231" spans="4:4" x14ac:dyDescent="0.45">
      <c r="D15231" s="47"/>
    </row>
    <row r="15232" spans="4:4" x14ac:dyDescent="0.45">
      <c r="D15232" s="47"/>
    </row>
    <row r="15233" spans="4:4" x14ac:dyDescent="0.45">
      <c r="D15233" s="47"/>
    </row>
    <row r="15234" spans="4:4" x14ac:dyDescent="0.45">
      <c r="D15234" s="47"/>
    </row>
    <row r="15235" spans="4:4" x14ac:dyDescent="0.45">
      <c r="D15235" s="47"/>
    </row>
    <row r="15236" spans="4:4" x14ac:dyDescent="0.45">
      <c r="D15236" s="47"/>
    </row>
    <row r="15237" spans="4:4" x14ac:dyDescent="0.45">
      <c r="D15237" s="47"/>
    </row>
    <row r="15238" spans="4:4" x14ac:dyDescent="0.45">
      <c r="D15238" s="47"/>
    </row>
    <row r="15239" spans="4:4" x14ac:dyDescent="0.45">
      <c r="D15239" s="47"/>
    </row>
    <row r="15240" spans="4:4" x14ac:dyDescent="0.45">
      <c r="D15240" s="47"/>
    </row>
    <row r="15241" spans="4:4" x14ac:dyDescent="0.45">
      <c r="D15241" s="47"/>
    </row>
    <row r="15242" spans="4:4" x14ac:dyDescent="0.45">
      <c r="D15242" s="47"/>
    </row>
    <row r="15243" spans="4:4" x14ac:dyDescent="0.45">
      <c r="D15243" s="47"/>
    </row>
    <row r="15244" spans="4:4" x14ac:dyDescent="0.45">
      <c r="D15244" s="47"/>
    </row>
    <row r="15245" spans="4:4" x14ac:dyDescent="0.45">
      <c r="D15245" s="47"/>
    </row>
    <row r="15246" spans="4:4" x14ac:dyDescent="0.45">
      <c r="D15246" s="47"/>
    </row>
    <row r="15247" spans="4:4" x14ac:dyDescent="0.45">
      <c r="D15247" s="47"/>
    </row>
    <row r="15248" spans="4:4" x14ac:dyDescent="0.45">
      <c r="D15248" s="47"/>
    </row>
    <row r="15249" spans="4:4" x14ac:dyDescent="0.45">
      <c r="D15249" s="47"/>
    </row>
    <row r="15250" spans="4:4" x14ac:dyDescent="0.45">
      <c r="D15250" s="47"/>
    </row>
    <row r="15251" spans="4:4" x14ac:dyDescent="0.45">
      <c r="D15251" s="47"/>
    </row>
    <row r="15252" spans="4:4" x14ac:dyDescent="0.45">
      <c r="D15252" s="47"/>
    </row>
    <row r="15253" spans="4:4" x14ac:dyDescent="0.45">
      <c r="D15253" s="47"/>
    </row>
    <row r="15254" spans="4:4" x14ac:dyDescent="0.45">
      <c r="D15254" s="47"/>
    </row>
    <row r="15255" spans="4:4" x14ac:dyDescent="0.45">
      <c r="D15255" s="47"/>
    </row>
    <row r="15256" spans="4:4" x14ac:dyDescent="0.45">
      <c r="D15256" s="47"/>
    </row>
    <row r="15257" spans="4:4" x14ac:dyDescent="0.45">
      <c r="D15257" s="47"/>
    </row>
    <row r="15258" spans="4:4" x14ac:dyDescent="0.45">
      <c r="D15258" s="47"/>
    </row>
    <row r="15259" spans="4:4" x14ac:dyDescent="0.45">
      <c r="D15259" s="47"/>
    </row>
    <row r="15260" spans="4:4" x14ac:dyDescent="0.45">
      <c r="D15260" s="47"/>
    </row>
    <row r="15261" spans="4:4" x14ac:dyDescent="0.45">
      <c r="D15261" s="47"/>
    </row>
    <row r="15262" spans="4:4" x14ac:dyDescent="0.45">
      <c r="D15262" s="47"/>
    </row>
    <row r="15263" spans="4:4" x14ac:dyDescent="0.45">
      <c r="D15263" s="47"/>
    </row>
    <row r="15264" spans="4:4" x14ac:dyDescent="0.45">
      <c r="D15264" s="47"/>
    </row>
    <row r="15265" spans="4:4" x14ac:dyDescent="0.45">
      <c r="D15265" s="47"/>
    </row>
    <row r="15266" spans="4:4" x14ac:dyDescent="0.45">
      <c r="D15266" s="47"/>
    </row>
    <row r="15267" spans="4:4" x14ac:dyDescent="0.45">
      <c r="D15267" s="47"/>
    </row>
    <row r="15268" spans="4:4" x14ac:dyDescent="0.45">
      <c r="D15268" s="47"/>
    </row>
    <row r="15269" spans="4:4" x14ac:dyDescent="0.45">
      <c r="D15269" s="47"/>
    </row>
    <row r="15270" spans="4:4" x14ac:dyDescent="0.45">
      <c r="D15270" s="47"/>
    </row>
    <row r="15271" spans="4:4" x14ac:dyDescent="0.45">
      <c r="D15271" s="47"/>
    </row>
    <row r="15272" spans="4:4" x14ac:dyDescent="0.45">
      <c r="D15272" s="47"/>
    </row>
    <row r="15273" spans="4:4" x14ac:dyDescent="0.45">
      <c r="D15273" s="47"/>
    </row>
    <row r="15274" spans="4:4" x14ac:dyDescent="0.45">
      <c r="D15274" s="47"/>
    </row>
    <row r="15275" spans="4:4" x14ac:dyDescent="0.45">
      <c r="D15275" s="47"/>
    </row>
    <row r="15276" spans="4:4" x14ac:dyDescent="0.45">
      <c r="D15276" s="47"/>
    </row>
    <row r="15277" spans="4:4" x14ac:dyDescent="0.45">
      <c r="D15277" s="47"/>
    </row>
    <row r="15278" spans="4:4" x14ac:dyDescent="0.45">
      <c r="D15278" s="47"/>
    </row>
    <row r="15279" spans="4:4" x14ac:dyDescent="0.45">
      <c r="D15279" s="47"/>
    </row>
    <row r="15280" spans="4:4" x14ac:dyDescent="0.45">
      <c r="D15280" s="47"/>
    </row>
    <row r="15281" spans="4:4" x14ac:dyDescent="0.45">
      <c r="D15281" s="47"/>
    </row>
    <row r="15282" spans="4:4" x14ac:dyDescent="0.45">
      <c r="D15282" s="47"/>
    </row>
    <row r="15283" spans="4:4" x14ac:dyDescent="0.45">
      <c r="D15283" s="47"/>
    </row>
    <row r="15284" spans="4:4" x14ac:dyDescent="0.45">
      <c r="D15284" s="47"/>
    </row>
    <row r="15285" spans="4:4" x14ac:dyDescent="0.45">
      <c r="D15285" s="47"/>
    </row>
    <row r="15286" spans="4:4" x14ac:dyDescent="0.45">
      <c r="D15286" s="47"/>
    </row>
    <row r="15287" spans="4:4" x14ac:dyDescent="0.45">
      <c r="D15287" s="47"/>
    </row>
    <row r="15288" spans="4:4" x14ac:dyDescent="0.45">
      <c r="D15288" s="47"/>
    </row>
    <row r="15289" spans="4:4" x14ac:dyDescent="0.45">
      <c r="D15289" s="47"/>
    </row>
    <row r="15290" spans="4:4" x14ac:dyDescent="0.45">
      <c r="D15290" s="47"/>
    </row>
    <row r="15291" spans="4:4" x14ac:dyDescent="0.45">
      <c r="D15291" s="47"/>
    </row>
    <row r="15292" spans="4:4" x14ac:dyDescent="0.45">
      <c r="D15292" s="47"/>
    </row>
    <row r="15293" spans="4:4" x14ac:dyDescent="0.45">
      <c r="D15293" s="47"/>
    </row>
    <row r="15294" spans="4:4" x14ac:dyDescent="0.45">
      <c r="D15294" s="47"/>
    </row>
    <row r="15295" spans="4:4" x14ac:dyDescent="0.45">
      <c r="D15295" s="47"/>
    </row>
    <row r="15296" spans="4:4" x14ac:dyDescent="0.45">
      <c r="D15296" s="47"/>
    </row>
    <row r="15297" spans="4:4" x14ac:dyDescent="0.45">
      <c r="D15297" s="47"/>
    </row>
    <row r="15298" spans="4:4" x14ac:dyDescent="0.45">
      <c r="D15298" s="47"/>
    </row>
    <row r="15299" spans="4:4" x14ac:dyDescent="0.45">
      <c r="D15299" s="47"/>
    </row>
    <row r="15300" spans="4:4" x14ac:dyDescent="0.45">
      <c r="D15300" s="47"/>
    </row>
    <row r="15301" spans="4:4" x14ac:dyDescent="0.45">
      <c r="D15301" s="47"/>
    </row>
    <row r="15302" spans="4:4" x14ac:dyDescent="0.45">
      <c r="D15302" s="47"/>
    </row>
    <row r="15303" spans="4:4" x14ac:dyDescent="0.45">
      <c r="D15303" s="47"/>
    </row>
    <row r="15304" spans="4:4" x14ac:dyDescent="0.45">
      <c r="D15304" s="47"/>
    </row>
    <row r="15305" spans="4:4" x14ac:dyDescent="0.45">
      <c r="D15305" s="47"/>
    </row>
    <row r="15306" spans="4:4" x14ac:dyDescent="0.45">
      <c r="D15306" s="47"/>
    </row>
    <row r="15307" spans="4:4" x14ac:dyDescent="0.45">
      <c r="D15307" s="47"/>
    </row>
    <row r="15308" spans="4:4" x14ac:dyDescent="0.45">
      <c r="D15308" s="47"/>
    </row>
    <row r="15309" spans="4:4" x14ac:dyDescent="0.45">
      <c r="D15309" s="47"/>
    </row>
    <row r="15310" spans="4:4" x14ac:dyDescent="0.45">
      <c r="D15310" s="47"/>
    </row>
    <row r="15311" spans="4:4" x14ac:dyDescent="0.45">
      <c r="D15311" s="47"/>
    </row>
    <row r="15312" spans="4:4" x14ac:dyDescent="0.45">
      <c r="D15312" s="47"/>
    </row>
    <row r="15313" spans="4:4" x14ac:dyDescent="0.45">
      <c r="D15313" s="47"/>
    </row>
    <row r="15314" spans="4:4" x14ac:dyDescent="0.45">
      <c r="D15314" s="47"/>
    </row>
    <row r="15315" spans="4:4" x14ac:dyDescent="0.45">
      <c r="D15315" s="47"/>
    </row>
    <row r="15316" spans="4:4" x14ac:dyDescent="0.45">
      <c r="D15316" s="47"/>
    </row>
    <row r="15317" spans="4:4" x14ac:dyDescent="0.45">
      <c r="D15317" s="47"/>
    </row>
    <row r="15318" spans="4:4" x14ac:dyDescent="0.45">
      <c r="D15318" s="47"/>
    </row>
    <row r="15319" spans="4:4" x14ac:dyDescent="0.45">
      <c r="D15319" s="47"/>
    </row>
    <row r="15320" spans="4:4" x14ac:dyDescent="0.45">
      <c r="D15320" s="47"/>
    </row>
    <row r="15321" spans="4:4" x14ac:dyDescent="0.45">
      <c r="D15321" s="47"/>
    </row>
    <row r="15322" spans="4:4" x14ac:dyDescent="0.45">
      <c r="D15322" s="47"/>
    </row>
    <row r="15323" spans="4:4" x14ac:dyDescent="0.45">
      <c r="D15323" s="47"/>
    </row>
    <row r="15324" spans="4:4" x14ac:dyDescent="0.45">
      <c r="D15324" s="47"/>
    </row>
    <row r="15325" spans="4:4" x14ac:dyDescent="0.45">
      <c r="D15325" s="47"/>
    </row>
    <row r="15326" spans="4:4" x14ac:dyDescent="0.45">
      <c r="D15326" s="47"/>
    </row>
    <row r="15327" spans="4:4" x14ac:dyDescent="0.45">
      <c r="D15327" s="47"/>
    </row>
    <row r="15328" spans="4:4" x14ac:dyDescent="0.45">
      <c r="D15328" s="47"/>
    </row>
    <row r="15329" spans="4:4" x14ac:dyDescent="0.45">
      <c r="D15329" s="47"/>
    </row>
    <row r="15330" spans="4:4" x14ac:dyDescent="0.45">
      <c r="D15330" s="47"/>
    </row>
    <row r="15331" spans="4:4" x14ac:dyDescent="0.45">
      <c r="D15331" s="47"/>
    </row>
    <row r="15332" spans="4:4" x14ac:dyDescent="0.45">
      <c r="D15332" s="47"/>
    </row>
    <row r="15333" spans="4:4" x14ac:dyDescent="0.45">
      <c r="D15333" s="47"/>
    </row>
    <row r="15334" spans="4:4" x14ac:dyDescent="0.45">
      <c r="D15334" s="47"/>
    </row>
    <row r="15335" spans="4:4" x14ac:dyDescent="0.45">
      <c r="D15335" s="47"/>
    </row>
    <row r="15336" spans="4:4" x14ac:dyDescent="0.45">
      <c r="D15336" s="47"/>
    </row>
    <row r="15337" spans="4:4" x14ac:dyDescent="0.45">
      <c r="D15337" s="47"/>
    </row>
    <row r="15338" spans="4:4" x14ac:dyDescent="0.45">
      <c r="D15338" s="47"/>
    </row>
    <row r="15339" spans="4:4" x14ac:dyDescent="0.45">
      <c r="D15339" s="47"/>
    </row>
    <row r="15340" spans="4:4" x14ac:dyDescent="0.45">
      <c r="D15340" s="47"/>
    </row>
    <row r="15341" spans="4:4" x14ac:dyDescent="0.45">
      <c r="D15341" s="47"/>
    </row>
    <row r="15342" spans="4:4" x14ac:dyDescent="0.45">
      <c r="D15342" s="47"/>
    </row>
    <row r="15343" spans="4:4" x14ac:dyDescent="0.45">
      <c r="D15343" s="47"/>
    </row>
    <row r="15344" spans="4:4" x14ac:dyDescent="0.45">
      <c r="D15344" s="47"/>
    </row>
    <row r="15345" spans="4:4" x14ac:dyDescent="0.45">
      <c r="D15345" s="47"/>
    </row>
    <row r="15346" spans="4:4" x14ac:dyDescent="0.45">
      <c r="D15346" s="47"/>
    </row>
    <row r="15347" spans="4:4" x14ac:dyDescent="0.45">
      <c r="D15347" s="47"/>
    </row>
    <row r="15348" spans="4:4" x14ac:dyDescent="0.45">
      <c r="D15348" s="47"/>
    </row>
    <row r="15349" spans="4:4" x14ac:dyDescent="0.45">
      <c r="D15349" s="47"/>
    </row>
    <row r="15350" spans="4:4" x14ac:dyDescent="0.45">
      <c r="D15350" s="47"/>
    </row>
    <row r="15351" spans="4:4" x14ac:dyDescent="0.45">
      <c r="D15351" s="47"/>
    </row>
    <row r="15352" spans="4:4" x14ac:dyDescent="0.45">
      <c r="D15352" s="47"/>
    </row>
    <row r="15353" spans="4:4" x14ac:dyDescent="0.45">
      <c r="D15353" s="47"/>
    </row>
    <row r="15354" spans="4:4" x14ac:dyDescent="0.45">
      <c r="D15354" s="47"/>
    </row>
    <row r="15355" spans="4:4" x14ac:dyDescent="0.45">
      <c r="D15355" s="47"/>
    </row>
    <row r="15356" spans="4:4" x14ac:dyDescent="0.45">
      <c r="D15356" s="47"/>
    </row>
    <row r="15357" spans="4:4" x14ac:dyDescent="0.45">
      <c r="D15357" s="47"/>
    </row>
    <row r="15358" spans="4:4" x14ac:dyDescent="0.45">
      <c r="D15358" s="47"/>
    </row>
    <row r="15359" spans="4:4" x14ac:dyDescent="0.45">
      <c r="D15359" s="47"/>
    </row>
    <row r="15360" spans="4:4" x14ac:dyDescent="0.45">
      <c r="D15360" s="47"/>
    </row>
    <row r="15361" spans="4:4" x14ac:dyDescent="0.45">
      <c r="D15361" s="47"/>
    </row>
    <row r="15362" spans="4:4" x14ac:dyDescent="0.45">
      <c r="D15362" s="47"/>
    </row>
    <row r="15363" spans="4:4" x14ac:dyDescent="0.45">
      <c r="D15363" s="47"/>
    </row>
    <row r="15364" spans="4:4" x14ac:dyDescent="0.45">
      <c r="D15364" s="47"/>
    </row>
    <row r="15365" spans="4:4" x14ac:dyDescent="0.45">
      <c r="D15365" s="47"/>
    </row>
    <row r="15366" spans="4:4" x14ac:dyDescent="0.45">
      <c r="D15366" s="47"/>
    </row>
    <row r="15367" spans="4:4" x14ac:dyDescent="0.45">
      <c r="D15367" s="47"/>
    </row>
    <row r="15368" spans="4:4" x14ac:dyDescent="0.45">
      <c r="D15368" s="47"/>
    </row>
    <row r="15369" spans="4:4" x14ac:dyDescent="0.45">
      <c r="D15369" s="47"/>
    </row>
    <row r="15370" spans="4:4" x14ac:dyDescent="0.45">
      <c r="D15370" s="47"/>
    </row>
    <row r="15371" spans="4:4" x14ac:dyDescent="0.45">
      <c r="D15371" s="47"/>
    </row>
    <row r="15372" spans="4:4" x14ac:dyDescent="0.45">
      <c r="D15372" s="47"/>
    </row>
    <row r="15373" spans="4:4" x14ac:dyDescent="0.45">
      <c r="D15373" s="47"/>
    </row>
    <row r="15374" spans="4:4" x14ac:dyDescent="0.45">
      <c r="D15374" s="47"/>
    </row>
    <row r="15375" spans="4:4" x14ac:dyDescent="0.45">
      <c r="D15375" s="47"/>
    </row>
    <row r="15376" spans="4:4" x14ac:dyDescent="0.45">
      <c r="D15376" s="47"/>
    </row>
    <row r="15377" spans="4:4" x14ac:dyDescent="0.45">
      <c r="D15377" s="47"/>
    </row>
    <row r="15378" spans="4:4" x14ac:dyDescent="0.45">
      <c r="D15378" s="47"/>
    </row>
    <row r="15379" spans="4:4" x14ac:dyDescent="0.45">
      <c r="D15379" s="47"/>
    </row>
    <row r="15380" spans="4:4" x14ac:dyDescent="0.45">
      <c r="D15380" s="47"/>
    </row>
    <row r="15381" spans="4:4" x14ac:dyDescent="0.45">
      <c r="D15381" s="47"/>
    </row>
    <row r="15382" spans="4:4" x14ac:dyDescent="0.45">
      <c r="D15382" s="47"/>
    </row>
    <row r="15383" spans="4:4" x14ac:dyDescent="0.45">
      <c r="D15383" s="47"/>
    </row>
    <row r="15384" spans="4:4" x14ac:dyDescent="0.45">
      <c r="D15384" s="47"/>
    </row>
    <row r="15385" spans="4:4" x14ac:dyDescent="0.45">
      <c r="D15385" s="47"/>
    </row>
    <row r="15386" spans="4:4" x14ac:dyDescent="0.45">
      <c r="D15386" s="47"/>
    </row>
    <row r="15387" spans="4:4" x14ac:dyDescent="0.45">
      <c r="D15387" s="47"/>
    </row>
    <row r="15388" spans="4:4" x14ac:dyDescent="0.45">
      <c r="D15388" s="47"/>
    </row>
    <row r="15389" spans="4:4" x14ac:dyDescent="0.45">
      <c r="D15389" s="47"/>
    </row>
    <row r="15390" spans="4:4" x14ac:dyDescent="0.45">
      <c r="D15390" s="47"/>
    </row>
    <row r="15391" spans="4:4" x14ac:dyDescent="0.45">
      <c r="D15391" s="47"/>
    </row>
    <row r="15392" spans="4:4" x14ac:dyDescent="0.45">
      <c r="D15392" s="47"/>
    </row>
    <row r="15393" spans="4:4" x14ac:dyDescent="0.45">
      <c r="D15393" s="47"/>
    </row>
    <row r="15394" spans="4:4" x14ac:dyDescent="0.45">
      <c r="D15394" s="47"/>
    </row>
    <row r="15395" spans="4:4" x14ac:dyDescent="0.45">
      <c r="D15395" s="47"/>
    </row>
    <row r="15396" spans="4:4" x14ac:dyDescent="0.45">
      <c r="D15396" s="47"/>
    </row>
    <row r="15397" spans="4:4" x14ac:dyDescent="0.45">
      <c r="D15397" s="47"/>
    </row>
    <row r="15398" spans="4:4" x14ac:dyDescent="0.45">
      <c r="D15398" s="47"/>
    </row>
    <row r="15399" spans="4:4" x14ac:dyDescent="0.45">
      <c r="D15399" s="47"/>
    </row>
    <row r="15400" spans="4:4" x14ac:dyDescent="0.45">
      <c r="D15400" s="47"/>
    </row>
    <row r="15401" spans="4:4" x14ac:dyDescent="0.45">
      <c r="D15401" s="47"/>
    </row>
    <row r="15402" spans="4:4" x14ac:dyDescent="0.45">
      <c r="D15402" s="47"/>
    </row>
    <row r="15403" spans="4:4" x14ac:dyDescent="0.45">
      <c r="D15403" s="47"/>
    </row>
    <row r="15404" spans="4:4" x14ac:dyDescent="0.45">
      <c r="D15404" s="47"/>
    </row>
    <row r="15405" spans="4:4" x14ac:dyDescent="0.45">
      <c r="D15405" s="47"/>
    </row>
    <row r="15406" spans="4:4" x14ac:dyDescent="0.45">
      <c r="D15406" s="47"/>
    </row>
    <row r="15407" spans="4:4" x14ac:dyDescent="0.45">
      <c r="D15407" s="47"/>
    </row>
    <row r="15408" spans="4:4" x14ac:dyDescent="0.45">
      <c r="D15408" s="47"/>
    </row>
    <row r="15409" spans="4:4" x14ac:dyDescent="0.45">
      <c r="D15409" s="47"/>
    </row>
    <row r="15410" spans="4:4" x14ac:dyDescent="0.45">
      <c r="D15410" s="47"/>
    </row>
    <row r="15411" spans="4:4" x14ac:dyDescent="0.45">
      <c r="D15411" s="47"/>
    </row>
    <row r="15412" spans="4:4" x14ac:dyDescent="0.45">
      <c r="D15412" s="47"/>
    </row>
    <row r="15413" spans="4:4" x14ac:dyDescent="0.45">
      <c r="D15413" s="47"/>
    </row>
    <row r="15414" spans="4:4" x14ac:dyDescent="0.45">
      <c r="D15414" s="47"/>
    </row>
    <row r="15415" spans="4:4" x14ac:dyDescent="0.45">
      <c r="D15415" s="47"/>
    </row>
    <row r="15416" spans="4:4" x14ac:dyDescent="0.45">
      <c r="D15416" s="47"/>
    </row>
    <row r="15417" spans="4:4" x14ac:dyDescent="0.45">
      <c r="D15417" s="47"/>
    </row>
    <row r="15418" spans="4:4" x14ac:dyDescent="0.45">
      <c r="D15418" s="47"/>
    </row>
    <row r="15419" spans="4:4" x14ac:dyDescent="0.45">
      <c r="D15419" s="47"/>
    </row>
    <row r="15420" spans="4:4" x14ac:dyDescent="0.45">
      <c r="D15420" s="47"/>
    </row>
    <row r="15421" spans="4:4" x14ac:dyDescent="0.45">
      <c r="D15421" s="47"/>
    </row>
    <row r="15422" spans="4:4" x14ac:dyDescent="0.45">
      <c r="D15422" s="47"/>
    </row>
    <row r="15423" spans="4:4" x14ac:dyDescent="0.45">
      <c r="D15423" s="47"/>
    </row>
    <row r="15424" spans="4:4" x14ac:dyDescent="0.45">
      <c r="D15424" s="47"/>
    </row>
    <row r="15425" spans="4:4" x14ac:dyDescent="0.45">
      <c r="D15425" s="47"/>
    </row>
    <row r="15426" spans="4:4" x14ac:dyDescent="0.45">
      <c r="D15426" s="47"/>
    </row>
    <row r="15427" spans="4:4" x14ac:dyDescent="0.45">
      <c r="D15427" s="47"/>
    </row>
    <row r="15428" spans="4:4" x14ac:dyDescent="0.45">
      <c r="D15428" s="47"/>
    </row>
    <row r="15429" spans="4:4" x14ac:dyDescent="0.45">
      <c r="D15429" s="47"/>
    </row>
    <row r="15430" spans="4:4" x14ac:dyDescent="0.45">
      <c r="D15430" s="47"/>
    </row>
    <row r="15431" spans="4:4" x14ac:dyDescent="0.45">
      <c r="D15431" s="47"/>
    </row>
    <row r="15432" spans="4:4" x14ac:dyDescent="0.45">
      <c r="D15432" s="47"/>
    </row>
    <row r="15433" spans="4:4" x14ac:dyDescent="0.45">
      <c r="D15433" s="47"/>
    </row>
    <row r="15434" spans="4:4" x14ac:dyDescent="0.45">
      <c r="D15434" s="47"/>
    </row>
    <row r="15435" spans="4:4" x14ac:dyDescent="0.45">
      <c r="D15435" s="47"/>
    </row>
    <row r="15436" spans="4:4" x14ac:dyDescent="0.45">
      <c r="D15436" s="47"/>
    </row>
    <row r="15437" spans="4:4" x14ac:dyDescent="0.45">
      <c r="D15437" s="47"/>
    </row>
    <row r="15438" spans="4:4" x14ac:dyDescent="0.45">
      <c r="D15438" s="47"/>
    </row>
    <row r="15439" spans="4:4" x14ac:dyDescent="0.45">
      <c r="D15439" s="47"/>
    </row>
    <row r="15440" spans="4:4" x14ac:dyDescent="0.45">
      <c r="D15440" s="47"/>
    </row>
    <row r="15441" spans="4:4" x14ac:dyDescent="0.45">
      <c r="D15441" s="47"/>
    </row>
    <row r="15442" spans="4:4" x14ac:dyDescent="0.45">
      <c r="D15442" s="47"/>
    </row>
    <row r="15443" spans="4:4" x14ac:dyDescent="0.45">
      <c r="D15443" s="47"/>
    </row>
    <row r="15444" spans="4:4" x14ac:dyDescent="0.45">
      <c r="D15444" s="47"/>
    </row>
    <row r="15445" spans="4:4" x14ac:dyDescent="0.45">
      <c r="D15445" s="47"/>
    </row>
    <row r="15446" spans="4:4" x14ac:dyDescent="0.45">
      <c r="D15446" s="47"/>
    </row>
    <row r="15447" spans="4:4" x14ac:dyDescent="0.45">
      <c r="D15447" s="47"/>
    </row>
    <row r="15448" spans="4:4" x14ac:dyDescent="0.45">
      <c r="D15448" s="47"/>
    </row>
    <row r="15449" spans="4:4" x14ac:dyDescent="0.45">
      <c r="D15449" s="47"/>
    </row>
    <row r="15450" spans="4:4" x14ac:dyDescent="0.45">
      <c r="D15450" s="47"/>
    </row>
    <row r="15451" spans="4:4" x14ac:dyDescent="0.45">
      <c r="D15451" s="47"/>
    </row>
    <row r="15452" spans="4:4" x14ac:dyDescent="0.45">
      <c r="D15452" s="47"/>
    </row>
    <row r="15453" spans="4:4" x14ac:dyDescent="0.45">
      <c r="D15453" s="47"/>
    </row>
    <row r="15454" spans="4:4" x14ac:dyDescent="0.45">
      <c r="D15454" s="47"/>
    </row>
    <row r="15455" spans="4:4" x14ac:dyDescent="0.45">
      <c r="D15455" s="47"/>
    </row>
    <row r="15456" spans="4:4" x14ac:dyDescent="0.45">
      <c r="D15456" s="47"/>
    </row>
    <row r="15457" spans="4:4" x14ac:dyDescent="0.45">
      <c r="D15457" s="47"/>
    </row>
    <row r="15458" spans="4:4" x14ac:dyDescent="0.45">
      <c r="D15458" s="47"/>
    </row>
    <row r="15459" spans="4:4" x14ac:dyDescent="0.45">
      <c r="D15459" s="47"/>
    </row>
    <row r="15460" spans="4:4" x14ac:dyDescent="0.45">
      <c r="D15460" s="47"/>
    </row>
    <row r="15461" spans="4:4" x14ac:dyDescent="0.45">
      <c r="D15461" s="47"/>
    </row>
    <row r="15462" spans="4:4" x14ac:dyDescent="0.45">
      <c r="D15462" s="47"/>
    </row>
    <row r="15463" spans="4:4" x14ac:dyDescent="0.45">
      <c r="D15463" s="47"/>
    </row>
    <row r="15464" spans="4:4" x14ac:dyDescent="0.45">
      <c r="D15464" s="47"/>
    </row>
    <row r="15465" spans="4:4" x14ac:dyDescent="0.45">
      <c r="D15465" s="47"/>
    </row>
    <row r="15466" spans="4:4" x14ac:dyDescent="0.45">
      <c r="D15466" s="47"/>
    </row>
    <row r="15467" spans="4:4" x14ac:dyDescent="0.45">
      <c r="D15467" s="47"/>
    </row>
    <row r="15468" spans="4:4" x14ac:dyDescent="0.45">
      <c r="D15468" s="47"/>
    </row>
    <row r="15469" spans="4:4" x14ac:dyDescent="0.45">
      <c r="D15469" s="47"/>
    </row>
    <row r="15470" spans="4:4" x14ac:dyDescent="0.45">
      <c r="D15470" s="47"/>
    </row>
    <row r="15471" spans="4:4" x14ac:dyDescent="0.45">
      <c r="D15471" s="47"/>
    </row>
    <row r="15472" spans="4:4" x14ac:dyDescent="0.45">
      <c r="D15472" s="47"/>
    </row>
    <row r="15473" spans="4:4" x14ac:dyDescent="0.45">
      <c r="D15473" s="47"/>
    </row>
    <row r="15474" spans="4:4" x14ac:dyDescent="0.45">
      <c r="D15474" s="47"/>
    </row>
    <row r="15475" spans="4:4" x14ac:dyDescent="0.45">
      <c r="D15475" s="47"/>
    </row>
    <row r="15476" spans="4:4" x14ac:dyDescent="0.45">
      <c r="D15476" s="47"/>
    </row>
    <row r="15477" spans="4:4" x14ac:dyDescent="0.45">
      <c r="D15477" s="47"/>
    </row>
    <row r="15478" spans="4:4" x14ac:dyDescent="0.45">
      <c r="D15478" s="47"/>
    </row>
    <row r="15479" spans="4:4" x14ac:dyDescent="0.45">
      <c r="D15479" s="47"/>
    </row>
    <row r="15480" spans="4:4" x14ac:dyDescent="0.45">
      <c r="D15480" s="47"/>
    </row>
    <row r="15481" spans="4:4" x14ac:dyDescent="0.45">
      <c r="D15481" s="47"/>
    </row>
    <row r="15482" spans="4:4" x14ac:dyDescent="0.45">
      <c r="D15482" s="47"/>
    </row>
    <row r="15483" spans="4:4" x14ac:dyDescent="0.45">
      <c r="D15483" s="47"/>
    </row>
    <row r="15484" spans="4:4" x14ac:dyDescent="0.45">
      <c r="D15484" s="47"/>
    </row>
    <row r="15485" spans="4:4" x14ac:dyDescent="0.45">
      <c r="D15485" s="47"/>
    </row>
    <row r="15486" spans="4:4" x14ac:dyDescent="0.45">
      <c r="D15486" s="47"/>
    </row>
    <row r="15487" spans="4:4" x14ac:dyDescent="0.45">
      <c r="D15487" s="47"/>
    </row>
    <row r="15488" spans="4:4" x14ac:dyDescent="0.45">
      <c r="D15488" s="47"/>
    </row>
    <row r="15489" spans="4:4" x14ac:dyDescent="0.45">
      <c r="D15489" s="47"/>
    </row>
    <row r="15490" spans="4:4" x14ac:dyDescent="0.45">
      <c r="D15490" s="47"/>
    </row>
    <row r="15491" spans="4:4" x14ac:dyDescent="0.45">
      <c r="D15491" s="47"/>
    </row>
    <row r="15492" spans="4:4" x14ac:dyDescent="0.45">
      <c r="D15492" s="47"/>
    </row>
    <row r="15493" spans="4:4" x14ac:dyDescent="0.45">
      <c r="D15493" s="47"/>
    </row>
    <row r="15494" spans="4:4" x14ac:dyDescent="0.45">
      <c r="D15494" s="47"/>
    </row>
    <row r="15495" spans="4:4" x14ac:dyDescent="0.45">
      <c r="D15495" s="47"/>
    </row>
    <row r="15496" spans="4:4" x14ac:dyDescent="0.45">
      <c r="D15496" s="47"/>
    </row>
    <row r="15497" spans="4:4" x14ac:dyDescent="0.45">
      <c r="D15497" s="47"/>
    </row>
    <row r="15498" spans="4:4" x14ac:dyDescent="0.45">
      <c r="D15498" s="47"/>
    </row>
    <row r="15499" spans="4:4" x14ac:dyDescent="0.45">
      <c r="D15499" s="47"/>
    </row>
    <row r="15500" spans="4:4" x14ac:dyDescent="0.45">
      <c r="D15500" s="47"/>
    </row>
    <row r="15501" spans="4:4" x14ac:dyDescent="0.45">
      <c r="D15501" s="47"/>
    </row>
    <row r="15502" spans="4:4" x14ac:dyDescent="0.45">
      <c r="D15502" s="47"/>
    </row>
    <row r="15503" spans="4:4" x14ac:dyDescent="0.45">
      <c r="D15503" s="47"/>
    </row>
    <row r="15504" spans="4:4" x14ac:dyDescent="0.45">
      <c r="D15504" s="47"/>
    </row>
    <row r="15505" spans="4:4" x14ac:dyDescent="0.45">
      <c r="D15505" s="47"/>
    </row>
    <row r="15506" spans="4:4" x14ac:dyDescent="0.45">
      <c r="D15506" s="47"/>
    </row>
    <row r="15507" spans="4:4" x14ac:dyDescent="0.45">
      <c r="D15507" s="47"/>
    </row>
    <row r="15508" spans="4:4" x14ac:dyDescent="0.45">
      <c r="D15508" s="47"/>
    </row>
    <row r="15509" spans="4:4" x14ac:dyDescent="0.45">
      <c r="D15509" s="47"/>
    </row>
    <row r="15510" spans="4:4" x14ac:dyDescent="0.45">
      <c r="D15510" s="47"/>
    </row>
    <row r="15511" spans="4:4" x14ac:dyDescent="0.45">
      <c r="D15511" s="47"/>
    </row>
    <row r="15512" spans="4:4" x14ac:dyDescent="0.45">
      <c r="D15512" s="47"/>
    </row>
    <row r="15513" spans="4:4" x14ac:dyDescent="0.45">
      <c r="D15513" s="47"/>
    </row>
    <row r="15514" spans="4:4" x14ac:dyDescent="0.45">
      <c r="D15514" s="47"/>
    </row>
    <row r="15515" spans="4:4" x14ac:dyDescent="0.45">
      <c r="D15515" s="47"/>
    </row>
    <row r="15516" spans="4:4" x14ac:dyDescent="0.45">
      <c r="D15516" s="47"/>
    </row>
    <row r="15517" spans="4:4" x14ac:dyDescent="0.45">
      <c r="D15517" s="47"/>
    </row>
    <row r="15518" spans="4:4" x14ac:dyDescent="0.45">
      <c r="D15518" s="47"/>
    </row>
    <row r="15519" spans="4:4" x14ac:dyDescent="0.45">
      <c r="D15519" s="47"/>
    </row>
    <row r="15520" spans="4:4" x14ac:dyDescent="0.45">
      <c r="D15520" s="47"/>
    </row>
    <row r="15521" spans="4:4" x14ac:dyDescent="0.45">
      <c r="D15521" s="47"/>
    </row>
    <row r="15522" spans="4:4" x14ac:dyDescent="0.45">
      <c r="D15522" s="47"/>
    </row>
    <row r="15523" spans="4:4" x14ac:dyDescent="0.45">
      <c r="D15523" s="47"/>
    </row>
    <row r="15524" spans="4:4" x14ac:dyDescent="0.45">
      <c r="D15524" s="47"/>
    </row>
    <row r="15525" spans="4:4" x14ac:dyDescent="0.45">
      <c r="D15525" s="47"/>
    </row>
    <row r="15526" spans="4:4" x14ac:dyDescent="0.45">
      <c r="D15526" s="47"/>
    </row>
    <row r="15527" spans="4:4" x14ac:dyDescent="0.45">
      <c r="D15527" s="47"/>
    </row>
    <row r="15528" spans="4:4" x14ac:dyDescent="0.45">
      <c r="D15528" s="47"/>
    </row>
    <row r="15529" spans="4:4" x14ac:dyDescent="0.45">
      <c r="D15529" s="47"/>
    </row>
    <row r="15530" spans="4:4" x14ac:dyDescent="0.45">
      <c r="D15530" s="47"/>
    </row>
    <row r="15531" spans="4:4" x14ac:dyDescent="0.45">
      <c r="D15531" s="47"/>
    </row>
    <row r="15532" spans="4:4" x14ac:dyDescent="0.45">
      <c r="D15532" s="47"/>
    </row>
    <row r="15533" spans="4:4" x14ac:dyDescent="0.45">
      <c r="D15533" s="47"/>
    </row>
    <row r="15534" spans="4:4" x14ac:dyDescent="0.45">
      <c r="D15534" s="47"/>
    </row>
    <row r="15535" spans="4:4" x14ac:dyDescent="0.45">
      <c r="D15535" s="47"/>
    </row>
    <row r="15536" spans="4:4" x14ac:dyDescent="0.45">
      <c r="D15536" s="47"/>
    </row>
    <row r="15537" spans="4:4" x14ac:dyDescent="0.45">
      <c r="D15537" s="47"/>
    </row>
    <row r="15538" spans="4:4" x14ac:dyDescent="0.45">
      <c r="D15538" s="47"/>
    </row>
    <row r="15539" spans="4:4" x14ac:dyDescent="0.45">
      <c r="D15539" s="47"/>
    </row>
    <row r="15540" spans="4:4" x14ac:dyDescent="0.45">
      <c r="D15540" s="47"/>
    </row>
    <row r="15541" spans="4:4" x14ac:dyDescent="0.45">
      <c r="D15541" s="47"/>
    </row>
    <row r="15542" spans="4:4" x14ac:dyDescent="0.45">
      <c r="D15542" s="47"/>
    </row>
    <row r="15543" spans="4:4" x14ac:dyDescent="0.45">
      <c r="D15543" s="47"/>
    </row>
    <row r="15544" spans="4:4" x14ac:dyDescent="0.45">
      <c r="D15544" s="47"/>
    </row>
    <row r="15545" spans="4:4" x14ac:dyDescent="0.45">
      <c r="D15545" s="47"/>
    </row>
    <row r="15546" spans="4:4" x14ac:dyDescent="0.45">
      <c r="D15546" s="47"/>
    </row>
    <row r="15547" spans="4:4" x14ac:dyDescent="0.45">
      <c r="D15547" s="47"/>
    </row>
    <row r="15548" spans="4:4" x14ac:dyDescent="0.45">
      <c r="D15548" s="47"/>
    </row>
    <row r="15549" spans="4:4" x14ac:dyDescent="0.45">
      <c r="D15549" s="47"/>
    </row>
    <row r="15550" spans="4:4" x14ac:dyDescent="0.45">
      <c r="D15550" s="47"/>
    </row>
    <row r="15551" spans="4:4" x14ac:dyDescent="0.45">
      <c r="D15551" s="47"/>
    </row>
    <row r="15552" spans="4:4" x14ac:dyDescent="0.45">
      <c r="D15552" s="47"/>
    </row>
    <row r="15553" spans="4:4" x14ac:dyDescent="0.45">
      <c r="D15553" s="47"/>
    </row>
    <row r="15554" spans="4:4" x14ac:dyDescent="0.45">
      <c r="D15554" s="47"/>
    </row>
    <row r="15555" spans="4:4" x14ac:dyDescent="0.45">
      <c r="D15555" s="47"/>
    </row>
    <row r="15556" spans="4:4" x14ac:dyDescent="0.45">
      <c r="D15556" s="47"/>
    </row>
    <row r="15557" spans="4:4" x14ac:dyDescent="0.45">
      <c r="D15557" s="47"/>
    </row>
    <row r="15558" spans="4:4" x14ac:dyDescent="0.45">
      <c r="D15558" s="47"/>
    </row>
    <row r="15559" spans="4:4" x14ac:dyDescent="0.45">
      <c r="D15559" s="47"/>
    </row>
    <row r="15560" spans="4:4" x14ac:dyDescent="0.45">
      <c r="D15560" s="47"/>
    </row>
    <row r="15561" spans="4:4" x14ac:dyDescent="0.45">
      <c r="D15561" s="47"/>
    </row>
    <row r="15562" spans="4:4" x14ac:dyDescent="0.45">
      <c r="D15562" s="47"/>
    </row>
    <row r="15563" spans="4:4" x14ac:dyDescent="0.45">
      <c r="D15563" s="47"/>
    </row>
    <row r="15564" spans="4:4" x14ac:dyDescent="0.45">
      <c r="D15564" s="47"/>
    </row>
    <row r="15565" spans="4:4" x14ac:dyDescent="0.45">
      <c r="D15565" s="47"/>
    </row>
    <row r="15566" spans="4:4" x14ac:dyDescent="0.45">
      <c r="D15566" s="47"/>
    </row>
    <row r="15567" spans="4:4" x14ac:dyDescent="0.45">
      <c r="D15567" s="47"/>
    </row>
    <row r="15568" spans="4:4" x14ac:dyDescent="0.45">
      <c r="D15568" s="47"/>
    </row>
    <row r="15569" spans="4:4" x14ac:dyDescent="0.45">
      <c r="D15569" s="47"/>
    </row>
    <row r="15570" spans="4:4" x14ac:dyDescent="0.45">
      <c r="D15570" s="47"/>
    </row>
    <row r="15571" spans="4:4" x14ac:dyDescent="0.45">
      <c r="D15571" s="47"/>
    </row>
    <row r="15572" spans="4:4" x14ac:dyDescent="0.45">
      <c r="D15572" s="47"/>
    </row>
    <row r="15573" spans="4:4" x14ac:dyDescent="0.45">
      <c r="D15573" s="47"/>
    </row>
    <row r="15574" spans="4:4" x14ac:dyDescent="0.45">
      <c r="D15574" s="47"/>
    </row>
    <row r="15575" spans="4:4" x14ac:dyDescent="0.45">
      <c r="D15575" s="47"/>
    </row>
    <row r="15576" spans="4:4" x14ac:dyDescent="0.45">
      <c r="D15576" s="47"/>
    </row>
    <row r="15577" spans="4:4" x14ac:dyDescent="0.45">
      <c r="D15577" s="47"/>
    </row>
    <row r="15578" spans="4:4" x14ac:dyDescent="0.45">
      <c r="D15578" s="47"/>
    </row>
    <row r="15579" spans="4:4" x14ac:dyDescent="0.45">
      <c r="D15579" s="47"/>
    </row>
    <row r="15580" spans="4:4" x14ac:dyDescent="0.45">
      <c r="D15580" s="47"/>
    </row>
    <row r="15581" spans="4:4" x14ac:dyDescent="0.45">
      <c r="D15581" s="47"/>
    </row>
    <row r="15582" spans="4:4" x14ac:dyDescent="0.45">
      <c r="D15582" s="47"/>
    </row>
    <row r="15583" spans="4:4" x14ac:dyDescent="0.45">
      <c r="D15583" s="47"/>
    </row>
    <row r="15584" spans="4:4" x14ac:dyDescent="0.45">
      <c r="D15584" s="47"/>
    </row>
    <row r="15585" spans="4:4" x14ac:dyDescent="0.45">
      <c r="D15585" s="47"/>
    </row>
    <row r="15586" spans="4:4" x14ac:dyDescent="0.45">
      <c r="D15586" s="47"/>
    </row>
    <row r="15587" spans="4:4" x14ac:dyDescent="0.45">
      <c r="D15587" s="47"/>
    </row>
    <row r="15588" spans="4:4" x14ac:dyDescent="0.45">
      <c r="D15588" s="47"/>
    </row>
    <row r="15589" spans="4:4" x14ac:dyDescent="0.45">
      <c r="D15589" s="47"/>
    </row>
    <row r="15590" spans="4:4" x14ac:dyDescent="0.45">
      <c r="D15590" s="47"/>
    </row>
    <row r="15591" spans="4:4" x14ac:dyDescent="0.45">
      <c r="D15591" s="47"/>
    </row>
    <row r="15592" spans="4:4" x14ac:dyDescent="0.45">
      <c r="D15592" s="47"/>
    </row>
    <row r="15593" spans="4:4" x14ac:dyDescent="0.45">
      <c r="D15593" s="47"/>
    </row>
    <row r="15594" spans="4:4" x14ac:dyDescent="0.45">
      <c r="D15594" s="47"/>
    </row>
    <row r="15595" spans="4:4" x14ac:dyDescent="0.45">
      <c r="D15595" s="47"/>
    </row>
    <row r="15596" spans="4:4" x14ac:dyDescent="0.45">
      <c r="D15596" s="47"/>
    </row>
    <row r="15597" spans="4:4" x14ac:dyDescent="0.45">
      <c r="D15597" s="47"/>
    </row>
    <row r="15598" spans="4:4" x14ac:dyDescent="0.45">
      <c r="D15598" s="47"/>
    </row>
    <row r="15599" spans="4:4" x14ac:dyDescent="0.45">
      <c r="D15599" s="47"/>
    </row>
    <row r="15600" spans="4:4" x14ac:dyDescent="0.45">
      <c r="D15600" s="47"/>
    </row>
    <row r="15601" spans="4:4" x14ac:dyDescent="0.45">
      <c r="D15601" s="47"/>
    </row>
    <row r="15602" spans="4:4" x14ac:dyDescent="0.45">
      <c r="D15602" s="47"/>
    </row>
    <row r="15603" spans="4:4" x14ac:dyDescent="0.45">
      <c r="D15603" s="47"/>
    </row>
    <row r="15604" spans="4:4" x14ac:dyDescent="0.45">
      <c r="D15604" s="47"/>
    </row>
    <row r="15605" spans="4:4" x14ac:dyDescent="0.45">
      <c r="D15605" s="47"/>
    </row>
    <row r="15606" spans="4:4" x14ac:dyDescent="0.45">
      <c r="D15606" s="47"/>
    </row>
    <row r="15607" spans="4:4" x14ac:dyDescent="0.45">
      <c r="D15607" s="47"/>
    </row>
    <row r="15608" spans="4:4" x14ac:dyDescent="0.45">
      <c r="D15608" s="47"/>
    </row>
    <row r="15609" spans="4:4" x14ac:dyDescent="0.45">
      <c r="D15609" s="47"/>
    </row>
    <row r="15610" spans="4:4" x14ac:dyDescent="0.45">
      <c r="D15610" s="47"/>
    </row>
    <row r="15611" spans="4:4" x14ac:dyDescent="0.45">
      <c r="D15611" s="47"/>
    </row>
    <row r="15612" spans="4:4" x14ac:dyDescent="0.45">
      <c r="D15612" s="47"/>
    </row>
    <row r="15613" spans="4:4" x14ac:dyDescent="0.45">
      <c r="D15613" s="47"/>
    </row>
    <row r="15614" spans="4:4" x14ac:dyDescent="0.45">
      <c r="D15614" s="47"/>
    </row>
    <row r="15615" spans="4:4" x14ac:dyDescent="0.45">
      <c r="D15615" s="47"/>
    </row>
    <row r="15616" spans="4:4" x14ac:dyDescent="0.45">
      <c r="D15616" s="47"/>
    </row>
    <row r="15617" spans="4:4" x14ac:dyDescent="0.45">
      <c r="D15617" s="47"/>
    </row>
    <row r="15618" spans="4:4" x14ac:dyDescent="0.45">
      <c r="D15618" s="47"/>
    </row>
    <row r="15619" spans="4:4" x14ac:dyDescent="0.45">
      <c r="D15619" s="47"/>
    </row>
    <row r="15620" spans="4:4" x14ac:dyDescent="0.45">
      <c r="D15620" s="47"/>
    </row>
    <row r="15621" spans="4:4" x14ac:dyDescent="0.45">
      <c r="D15621" s="47"/>
    </row>
    <row r="15622" spans="4:4" x14ac:dyDescent="0.45">
      <c r="D15622" s="47"/>
    </row>
    <row r="15623" spans="4:4" x14ac:dyDescent="0.45">
      <c r="D15623" s="47"/>
    </row>
    <row r="15624" spans="4:4" x14ac:dyDescent="0.45">
      <c r="D15624" s="47"/>
    </row>
    <row r="15625" spans="4:4" x14ac:dyDescent="0.45">
      <c r="D15625" s="47"/>
    </row>
    <row r="15626" spans="4:4" x14ac:dyDescent="0.45">
      <c r="D15626" s="47"/>
    </row>
    <row r="15627" spans="4:4" x14ac:dyDescent="0.45">
      <c r="D15627" s="47"/>
    </row>
    <row r="15628" spans="4:4" x14ac:dyDescent="0.45">
      <c r="D15628" s="47"/>
    </row>
    <row r="15629" spans="4:4" x14ac:dyDescent="0.45">
      <c r="D15629" s="47"/>
    </row>
    <row r="15630" spans="4:4" x14ac:dyDescent="0.45">
      <c r="D15630" s="47"/>
    </row>
    <row r="15631" spans="4:4" x14ac:dyDescent="0.45">
      <c r="D15631" s="47"/>
    </row>
    <row r="15632" spans="4:4" x14ac:dyDescent="0.45">
      <c r="D15632" s="47"/>
    </row>
    <row r="15633" spans="4:4" x14ac:dyDescent="0.45">
      <c r="D15633" s="47"/>
    </row>
    <row r="15634" spans="4:4" x14ac:dyDescent="0.45">
      <c r="D15634" s="47"/>
    </row>
    <row r="15635" spans="4:4" x14ac:dyDescent="0.45">
      <c r="D15635" s="47"/>
    </row>
    <row r="15636" spans="4:4" x14ac:dyDescent="0.45">
      <c r="D15636" s="47"/>
    </row>
    <row r="15637" spans="4:4" x14ac:dyDescent="0.45">
      <c r="D15637" s="47"/>
    </row>
    <row r="15638" spans="4:4" x14ac:dyDescent="0.45">
      <c r="D15638" s="47"/>
    </row>
    <row r="15639" spans="4:4" x14ac:dyDescent="0.45">
      <c r="D15639" s="47"/>
    </row>
    <row r="15640" spans="4:4" x14ac:dyDescent="0.45">
      <c r="D15640" s="47"/>
    </row>
    <row r="15641" spans="4:4" x14ac:dyDescent="0.45">
      <c r="D15641" s="47"/>
    </row>
    <row r="15642" spans="4:4" x14ac:dyDescent="0.45">
      <c r="D15642" s="47"/>
    </row>
    <row r="15643" spans="4:4" x14ac:dyDescent="0.45">
      <c r="D15643" s="47"/>
    </row>
    <row r="15644" spans="4:4" x14ac:dyDescent="0.45">
      <c r="D15644" s="47"/>
    </row>
    <row r="15645" spans="4:4" x14ac:dyDescent="0.45">
      <c r="D15645" s="47"/>
    </row>
    <row r="15646" spans="4:4" x14ac:dyDescent="0.45">
      <c r="D15646" s="47"/>
    </row>
    <row r="15647" spans="4:4" x14ac:dyDescent="0.45">
      <c r="D15647" s="47"/>
    </row>
    <row r="15648" spans="4:4" x14ac:dyDescent="0.45">
      <c r="D15648" s="47"/>
    </row>
    <row r="15649" spans="4:4" x14ac:dyDescent="0.45">
      <c r="D15649" s="47"/>
    </row>
    <row r="15650" spans="4:4" x14ac:dyDescent="0.45">
      <c r="D15650" s="47"/>
    </row>
    <row r="15651" spans="4:4" x14ac:dyDescent="0.45">
      <c r="D15651" s="47"/>
    </row>
    <row r="15652" spans="4:4" x14ac:dyDescent="0.45">
      <c r="D15652" s="47"/>
    </row>
    <row r="15653" spans="4:4" x14ac:dyDescent="0.45">
      <c r="D15653" s="47"/>
    </row>
    <row r="15654" spans="4:4" x14ac:dyDescent="0.45">
      <c r="D15654" s="47"/>
    </row>
    <row r="15655" spans="4:4" x14ac:dyDescent="0.45">
      <c r="D15655" s="47"/>
    </row>
    <row r="15656" spans="4:4" x14ac:dyDescent="0.45">
      <c r="D15656" s="47"/>
    </row>
    <row r="15657" spans="4:4" x14ac:dyDescent="0.45">
      <c r="D15657" s="47"/>
    </row>
    <row r="15658" spans="4:4" x14ac:dyDescent="0.45">
      <c r="D15658" s="47"/>
    </row>
    <row r="15659" spans="4:4" x14ac:dyDescent="0.45">
      <c r="D15659" s="47"/>
    </row>
    <row r="15660" spans="4:4" x14ac:dyDescent="0.45">
      <c r="D15660" s="47"/>
    </row>
    <row r="15661" spans="4:4" x14ac:dyDescent="0.45">
      <c r="D15661" s="47"/>
    </row>
    <row r="15662" spans="4:4" x14ac:dyDescent="0.45">
      <c r="D15662" s="47"/>
    </row>
    <row r="15663" spans="4:4" x14ac:dyDescent="0.45">
      <c r="D15663" s="47"/>
    </row>
    <row r="15664" spans="4:4" x14ac:dyDescent="0.45">
      <c r="D15664" s="47"/>
    </row>
    <row r="15665" spans="4:4" x14ac:dyDescent="0.45">
      <c r="D15665" s="47"/>
    </row>
    <row r="15666" spans="4:4" x14ac:dyDescent="0.45">
      <c r="D15666" s="47"/>
    </row>
    <row r="15667" spans="4:4" x14ac:dyDescent="0.45">
      <c r="D15667" s="47"/>
    </row>
    <row r="15668" spans="4:4" x14ac:dyDescent="0.45">
      <c r="D15668" s="47"/>
    </row>
    <row r="15669" spans="4:4" x14ac:dyDescent="0.45">
      <c r="D15669" s="47"/>
    </row>
    <row r="15670" spans="4:4" x14ac:dyDescent="0.45">
      <c r="D15670" s="47"/>
    </row>
    <row r="15671" spans="4:4" x14ac:dyDescent="0.45">
      <c r="D15671" s="47"/>
    </row>
    <row r="15672" spans="4:4" x14ac:dyDescent="0.45">
      <c r="D15672" s="47"/>
    </row>
    <row r="15673" spans="4:4" x14ac:dyDescent="0.45">
      <c r="D15673" s="47"/>
    </row>
    <row r="15674" spans="4:4" x14ac:dyDescent="0.45">
      <c r="D15674" s="47"/>
    </row>
    <row r="15675" spans="4:4" x14ac:dyDescent="0.45">
      <c r="D15675" s="47"/>
    </row>
    <row r="15676" spans="4:4" x14ac:dyDescent="0.45">
      <c r="D15676" s="47"/>
    </row>
    <row r="15677" spans="4:4" x14ac:dyDescent="0.45">
      <c r="D15677" s="47"/>
    </row>
    <row r="15678" spans="4:4" x14ac:dyDescent="0.45">
      <c r="D15678" s="47"/>
    </row>
    <row r="15679" spans="4:4" x14ac:dyDescent="0.45">
      <c r="D15679" s="47"/>
    </row>
    <row r="15680" spans="4:4" x14ac:dyDescent="0.45">
      <c r="D15680" s="47"/>
    </row>
    <row r="15681" spans="4:4" x14ac:dyDescent="0.45">
      <c r="D15681" s="47"/>
    </row>
    <row r="15682" spans="4:4" x14ac:dyDescent="0.45">
      <c r="D15682" s="47"/>
    </row>
    <row r="15683" spans="4:4" x14ac:dyDescent="0.45">
      <c r="D15683" s="47"/>
    </row>
    <row r="15684" spans="4:4" x14ac:dyDescent="0.45">
      <c r="D15684" s="47"/>
    </row>
    <row r="15685" spans="4:4" x14ac:dyDescent="0.45">
      <c r="D15685" s="47"/>
    </row>
    <row r="15686" spans="4:4" x14ac:dyDescent="0.45">
      <c r="D15686" s="47"/>
    </row>
    <row r="15687" spans="4:4" x14ac:dyDescent="0.45">
      <c r="D15687" s="47"/>
    </row>
    <row r="15688" spans="4:4" x14ac:dyDescent="0.45">
      <c r="D15688" s="47"/>
    </row>
    <row r="15689" spans="4:4" x14ac:dyDescent="0.45">
      <c r="D15689" s="47"/>
    </row>
    <row r="15690" spans="4:4" x14ac:dyDescent="0.45">
      <c r="D15690" s="47"/>
    </row>
    <row r="15691" spans="4:4" x14ac:dyDescent="0.45">
      <c r="D15691" s="47"/>
    </row>
    <row r="15692" spans="4:4" x14ac:dyDescent="0.45">
      <c r="D15692" s="47"/>
    </row>
    <row r="15693" spans="4:4" x14ac:dyDescent="0.45">
      <c r="D15693" s="47"/>
    </row>
    <row r="15694" spans="4:4" x14ac:dyDescent="0.45">
      <c r="D15694" s="47"/>
    </row>
    <row r="15695" spans="4:4" x14ac:dyDescent="0.45">
      <c r="D15695" s="47"/>
    </row>
    <row r="15696" spans="4:4" x14ac:dyDescent="0.45">
      <c r="D15696" s="47"/>
    </row>
    <row r="15697" spans="4:4" x14ac:dyDescent="0.45">
      <c r="D15697" s="47"/>
    </row>
    <row r="15698" spans="4:4" x14ac:dyDescent="0.45">
      <c r="D15698" s="47"/>
    </row>
    <row r="15699" spans="4:4" x14ac:dyDescent="0.45">
      <c r="D15699" s="47"/>
    </row>
    <row r="15700" spans="4:4" x14ac:dyDescent="0.45">
      <c r="D15700" s="47"/>
    </row>
    <row r="15701" spans="4:4" x14ac:dyDescent="0.45">
      <c r="D15701" s="47"/>
    </row>
    <row r="15702" spans="4:4" x14ac:dyDescent="0.45">
      <c r="D15702" s="47"/>
    </row>
    <row r="15703" spans="4:4" x14ac:dyDescent="0.45">
      <c r="D15703" s="47"/>
    </row>
    <row r="15704" spans="4:4" x14ac:dyDescent="0.45">
      <c r="D15704" s="47"/>
    </row>
    <row r="15705" spans="4:4" x14ac:dyDescent="0.45">
      <c r="D15705" s="47"/>
    </row>
    <row r="15706" spans="4:4" x14ac:dyDescent="0.45">
      <c r="D15706" s="47"/>
    </row>
    <row r="15707" spans="4:4" x14ac:dyDescent="0.45">
      <c r="D15707" s="47"/>
    </row>
    <row r="15708" spans="4:4" x14ac:dyDescent="0.45">
      <c r="D15708" s="47"/>
    </row>
    <row r="15709" spans="4:4" x14ac:dyDescent="0.45">
      <c r="D15709" s="47"/>
    </row>
    <row r="15710" spans="4:4" x14ac:dyDescent="0.45">
      <c r="D15710" s="47"/>
    </row>
    <row r="15711" spans="4:4" x14ac:dyDescent="0.45">
      <c r="D15711" s="47"/>
    </row>
    <row r="15712" spans="4:4" x14ac:dyDescent="0.45">
      <c r="D15712" s="47"/>
    </row>
    <row r="15713" spans="4:4" x14ac:dyDescent="0.45">
      <c r="D15713" s="47"/>
    </row>
    <row r="15714" spans="4:4" x14ac:dyDescent="0.45">
      <c r="D15714" s="47"/>
    </row>
    <row r="15715" spans="4:4" x14ac:dyDescent="0.45">
      <c r="D15715" s="47"/>
    </row>
    <row r="15716" spans="4:4" x14ac:dyDescent="0.45">
      <c r="D15716" s="47"/>
    </row>
    <row r="15717" spans="4:4" x14ac:dyDescent="0.45">
      <c r="D15717" s="47"/>
    </row>
    <row r="15718" spans="4:4" x14ac:dyDescent="0.45">
      <c r="D15718" s="47"/>
    </row>
    <row r="15719" spans="4:4" x14ac:dyDescent="0.45">
      <c r="D15719" s="47"/>
    </row>
    <row r="15720" spans="4:4" x14ac:dyDescent="0.45">
      <c r="D15720" s="47"/>
    </row>
    <row r="15721" spans="4:4" x14ac:dyDescent="0.45">
      <c r="D15721" s="47"/>
    </row>
    <row r="15722" spans="4:4" x14ac:dyDescent="0.45">
      <c r="D15722" s="47"/>
    </row>
    <row r="15723" spans="4:4" x14ac:dyDescent="0.45">
      <c r="D15723" s="47"/>
    </row>
    <row r="15724" spans="4:4" x14ac:dyDescent="0.45">
      <c r="D15724" s="47"/>
    </row>
    <row r="15725" spans="4:4" x14ac:dyDescent="0.45">
      <c r="D15725" s="47"/>
    </row>
    <row r="15726" spans="4:4" x14ac:dyDescent="0.45">
      <c r="D15726" s="47"/>
    </row>
    <row r="15727" spans="4:4" x14ac:dyDescent="0.45">
      <c r="D15727" s="47"/>
    </row>
    <row r="15728" spans="4:4" x14ac:dyDescent="0.45">
      <c r="D15728" s="47"/>
    </row>
    <row r="15729" spans="4:4" x14ac:dyDescent="0.45">
      <c r="D15729" s="47"/>
    </row>
    <row r="15730" spans="4:4" x14ac:dyDescent="0.45">
      <c r="D15730" s="47"/>
    </row>
    <row r="15731" spans="4:4" x14ac:dyDescent="0.45">
      <c r="D15731" s="47"/>
    </row>
    <row r="15732" spans="4:4" x14ac:dyDescent="0.45">
      <c r="D15732" s="47"/>
    </row>
    <row r="15733" spans="4:4" x14ac:dyDescent="0.45">
      <c r="D15733" s="47"/>
    </row>
    <row r="15734" spans="4:4" x14ac:dyDescent="0.45">
      <c r="D15734" s="47"/>
    </row>
    <row r="15735" spans="4:4" x14ac:dyDescent="0.45">
      <c r="D15735" s="47"/>
    </row>
    <row r="15736" spans="4:4" x14ac:dyDescent="0.45">
      <c r="D15736" s="47"/>
    </row>
    <row r="15737" spans="4:4" x14ac:dyDescent="0.45">
      <c r="D15737" s="47"/>
    </row>
    <row r="15738" spans="4:4" x14ac:dyDescent="0.45">
      <c r="D15738" s="47"/>
    </row>
    <row r="15739" spans="4:4" x14ac:dyDescent="0.45">
      <c r="D15739" s="47"/>
    </row>
    <row r="15740" spans="4:4" x14ac:dyDescent="0.45">
      <c r="D15740" s="47"/>
    </row>
    <row r="15741" spans="4:4" x14ac:dyDescent="0.45">
      <c r="D15741" s="47"/>
    </row>
    <row r="15742" spans="4:4" x14ac:dyDescent="0.45">
      <c r="D15742" s="47"/>
    </row>
    <row r="15743" spans="4:4" x14ac:dyDescent="0.45">
      <c r="D15743" s="47"/>
    </row>
    <row r="15744" spans="4:4" x14ac:dyDescent="0.45">
      <c r="D15744" s="47"/>
    </row>
    <row r="15745" spans="4:4" x14ac:dyDescent="0.45">
      <c r="D15745" s="47"/>
    </row>
    <row r="15746" spans="4:4" x14ac:dyDescent="0.45">
      <c r="D15746" s="47"/>
    </row>
    <row r="15747" spans="4:4" x14ac:dyDescent="0.45">
      <c r="D15747" s="47"/>
    </row>
    <row r="15748" spans="4:4" x14ac:dyDescent="0.45">
      <c r="D15748" s="47"/>
    </row>
    <row r="15749" spans="4:4" x14ac:dyDescent="0.45">
      <c r="D15749" s="47"/>
    </row>
    <row r="15750" spans="4:4" x14ac:dyDescent="0.45">
      <c r="D15750" s="47"/>
    </row>
    <row r="15751" spans="4:4" x14ac:dyDescent="0.45">
      <c r="D15751" s="47"/>
    </row>
    <row r="15752" spans="4:4" x14ac:dyDescent="0.45">
      <c r="D15752" s="47"/>
    </row>
    <row r="15753" spans="4:4" x14ac:dyDescent="0.45">
      <c r="D15753" s="47"/>
    </row>
    <row r="15754" spans="4:4" x14ac:dyDescent="0.45">
      <c r="D15754" s="47"/>
    </row>
    <row r="15755" spans="4:4" x14ac:dyDescent="0.45">
      <c r="D15755" s="47"/>
    </row>
    <row r="15756" spans="4:4" x14ac:dyDescent="0.45">
      <c r="D15756" s="47"/>
    </row>
    <row r="15757" spans="4:4" x14ac:dyDescent="0.45">
      <c r="D15757" s="47"/>
    </row>
    <row r="15758" spans="4:4" x14ac:dyDescent="0.45">
      <c r="D15758" s="47"/>
    </row>
    <row r="15759" spans="4:4" x14ac:dyDescent="0.45">
      <c r="D15759" s="47"/>
    </row>
    <row r="15760" spans="4:4" x14ac:dyDescent="0.45">
      <c r="D15760" s="47"/>
    </row>
    <row r="15761" spans="4:4" x14ac:dyDescent="0.45">
      <c r="D15761" s="47"/>
    </row>
    <row r="15762" spans="4:4" x14ac:dyDescent="0.45">
      <c r="D15762" s="47"/>
    </row>
    <row r="15763" spans="4:4" x14ac:dyDescent="0.45">
      <c r="D15763" s="47"/>
    </row>
    <row r="15764" spans="4:4" x14ac:dyDescent="0.45">
      <c r="D15764" s="47"/>
    </row>
    <row r="15765" spans="4:4" x14ac:dyDescent="0.45">
      <c r="D15765" s="47"/>
    </row>
    <row r="15766" spans="4:4" x14ac:dyDescent="0.45">
      <c r="D15766" s="47"/>
    </row>
    <row r="15767" spans="4:4" x14ac:dyDescent="0.45">
      <c r="D15767" s="47"/>
    </row>
    <row r="15768" spans="4:4" x14ac:dyDescent="0.45">
      <c r="D15768" s="47"/>
    </row>
    <row r="15769" spans="4:4" x14ac:dyDescent="0.45">
      <c r="D15769" s="47"/>
    </row>
    <row r="15770" spans="4:4" x14ac:dyDescent="0.45">
      <c r="D15770" s="47"/>
    </row>
    <row r="15771" spans="4:4" x14ac:dyDescent="0.45">
      <c r="D15771" s="47"/>
    </row>
    <row r="15772" spans="4:4" x14ac:dyDescent="0.45">
      <c r="D15772" s="47"/>
    </row>
    <row r="15773" spans="4:4" x14ac:dyDescent="0.45">
      <c r="D15773" s="47"/>
    </row>
    <row r="15774" spans="4:4" x14ac:dyDescent="0.45">
      <c r="D15774" s="47"/>
    </row>
    <row r="15775" spans="4:4" x14ac:dyDescent="0.45">
      <c r="D15775" s="47"/>
    </row>
    <row r="15776" spans="4:4" x14ac:dyDescent="0.45">
      <c r="D15776" s="47"/>
    </row>
    <row r="15777" spans="4:4" x14ac:dyDescent="0.45">
      <c r="D15777" s="47"/>
    </row>
    <row r="15778" spans="4:4" x14ac:dyDescent="0.45">
      <c r="D15778" s="47"/>
    </row>
    <row r="15779" spans="4:4" x14ac:dyDescent="0.45">
      <c r="D15779" s="47"/>
    </row>
    <row r="15780" spans="4:4" x14ac:dyDescent="0.45">
      <c r="D15780" s="47"/>
    </row>
    <row r="15781" spans="4:4" x14ac:dyDescent="0.45">
      <c r="D15781" s="47"/>
    </row>
    <row r="15782" spans="4:4" x14ac:dyDescent="0.45">
      <c r="D15782" s="47"/>
    </row>
    <row r="15783" spans="4:4" x14ac:dyDescent="0.45">
      <c r="D15783" s="47"/>
    </row>
    <row r="15784" spans="4:4" x14ac:dyDescent="0.45">
      <c r="D15784" s="47"/>
    </row>
    <row r="15785" spans="4:4" x14ac:dyDescent="0.45">
      <c r="D15785" s="47"/>
    </row>
    <row r="15786" spans="4:4" x14ac:dyDescent="0.45">
      <c r="D15786" s="47"/>
    </row>
    <row r="15787" spans="4:4" x14ac:dyDescent="0.45">
      <c r="D15787" s="47"/>
    </row>
    <row r="15788" spans="4:4" x14ac:dyDescent="0.45">
      <c r="D15788" s="47"/>
    </row>
    <row r="15789" spans="4:4" x14ac:dyDescent="0.45">
      <c r="D15789" s="47"/>
    </row>
    <row r="15790" spans="4:4" x14ac:dyDescent="0.45">
      <c r="D15790" s="47"/>
    </row>
    <row r="15791" spans="4:4" x14ac:dyDescent="0.45">
      <c r="D15791" s="47"/>
    </row>
    <row r="15792" spans="4:4" x14ac:dyDescent="0.45">
      <c r="D15792" s="47"/>
    </row>
    <row r="15793" spans="4:4" x14ac:dyDescent="0.45">
      <c r="D15793" s="47"/>
    </row>
    <row r="15794" spans="4:4" x14ac:dyDescent="0.45">
      <c r="D15794" s="47"/>
    </row>
    <row r="15795" spans="4:4" x14ac:dyDescent="0.45">
      <c r="D15795" s="47"/>
    </row>
    <row r="15796" spans="4:4" x14ac:dyDescent="0.45">
      <c r="D15796" s="47"/>
    </row>
    <row r="15797" spans="4:4" x14ac:dyDescent="0.45">
      <c r="D15797" s="47"/>
    </row>
    <row r="15798" spans="4:4" x14ac:dyDescent="0.45">
      <c r="D15798" s="47"/>
    </row>
    <row r="15799" spans="4:4" x14ac:dyDescent="0.45">
      <c r="D15799" s="47"/>
    </row>
    <row r="15800" spans="4:4" x14ac:dyDescent="0.45">
      <c r="D15800" s="47"/>
    </row>
    <row r="15801" spans="4:4" x14ac:dyDescent="0.45">
      <c r="D15801" s="47"/>
    </row>
    <row r="15802" spans="4:4" x14ac:dyDescent="0.45">
      <c r="D15802" s="47"/>
    </row>
    <row r="15803" spans="4:4" x14ac:dyDescent="0.45">
      <c r="D15803" s="47"/>
    </row>
    <row r="15804" spans="4:4" x14ac:dyDescent="0.45">
      <c r="D15804" s="47"/>
    </row>
    <row r="15805" spans="4:4" x14ac:dyDescent="0.45">
      <c r="D15805" s="47"/>
    </row>
    <row r="15806" spans="4:4" x14ac:dyDescent="0.45">
      <c r="D15806" s="47"/>
    </row>
    <row r="15807" spans="4:4" x14ac:dyDescent="0.45">
      <c r="D15807" s="47"/>
    </row>
    <row r="15808" spans="4:4" x14ac:dyDescent="0.45">
      <c r="D15808" s="47"/>
    </row>
    <row r="15809" spans="4:4" x14ac:dyDescent="0.45">
      <c r="D15809" s="47"/>
    </row>
    <row r="15810" spans="4:4" x14ac:dyDescent="0.45">
      <c r="D15810" s="47"/>
    </row>
    <row r="15811" spans="4:4" x14ac:dyDescent="0.45">
      <c r="D15811" s="47"/>
    </row>
    <row r="15812" spans="4:4" x14ac:dyDescent="0.45">
      <c r="D15812" s="47"/>
    </row>
    <row r="15813" spans="4:4" x14ac:dyDescent="0.45">
      <c r="D15813" s="47"/>
    </row>
    <row r="15814" spans="4:4" x14ac:dyDescent="0.45">
      <c r="D15814" s="47"/>
    </row>
    <row r="15815" spans="4:4" x14ac:dyDescent="0.45">
      <c r="D15815" s="47"/>
    </row>
    <row r="15816" spans="4:4" x14ac:dyDescent="0.45">
      <c r="D15816" s="47"/>
    </row>
    <row r="15817" spans="4:4" x14ac:dyDescent="0.45">
      <c r="D15817" s="47"/>
    </row>
    <row r="15818" spans="4:4" x14ac:dyDescent="0.45">
      <c r="D15818" s="47"/>
    </row>
    <row r="15819" spans="4:4" x14ac:dyDescent="0.45">
      <c r="D15819" s="47"/>
    </row>
    <row r="15820" spans="4:4" x14ac:dyDescent="0.45">
      <c r="D15820" s="47"/>
    </row>
    <row r="15821" spans="4:4" x14ac:dyDescent="0.45">
      <c r="D15821" s="47"/>
    </row>
    <row r="15822" spans="4:4" x14ac:dyDescent="0.45">
      <c r="D15822" s="47"/>
    </row>
    <row r="15823" spans="4:4" x14ac:dyDescent="0.45">
      <c r="D15823" s="47"/>
    </row>
    <row r="15824" spans="4:4" x14ac:dyDescent="0.45">
      <c r="D15824" s="47"/>
    </row>
    <row r="15825" spans="4:4" x14ac:dyDescent="0.45">
      <c r="D15825" s="47"/>
    </row>
    <row r="15826" spans="4:4" x14ac:dyDescent="0.45">
      <c r="D15826" s="47"/>
    </row>
    <row r="15827" spans="4:4" x14ac:dyDescent="0.45">
      <c r="D15827" s="47"/>
    </row>
    <row r="15828" spans="4:4" x14ac:dyDescent="0.45">
      <c r="D15828" s="47"/>
    </row>
    <row r="15829" spans="4:4" x14ac:dyDescent="0.45">
      <c r="D15829" s="47"/>
    </row>
    <row r="15830" spans="4:4" x14ac:dyDescent="0.45">
      <c r="D15830" s="47"/>
    </row>
    <row r="15831" spans="4:4" x14ac:dyDescent="0.45">
      <c r="D15831" s="47"/>
    </row>
    <row r="15832" spans="4:4" x14ac:dyDescent="0.45">
      <c r="D15832" s="47"/>
    </row>
    <row r="15833" spans="4:4" x14ac:dyDescent="0.45">
      <c r="D15833" s="47"/>
    </row>
    <row r="15834" spans="4:4" x14ac:dyDescent="0.45">
      <c r="D15834" s="47"/>
    </row>
    <row r="15835" spans="4:4" x14ac:dyDescent="0.45">
      <c r="D15835" s="47"/>
    </row>
    <row r="15836" spans="4:4" x14ac:dyDescent="0.45">
      <c r="D15836" s="47"/>
    </row>
    <row r="15837" spans="4:4" x14ac:dyDescent="0.45">
      <c r="D15837" s="47"/>
    </row>
    <row r="15838" spans="4:4" x14ac:dyDescent="0.45">
      <c r="D15838" s="47"/>
    </row>
    <row r="15839" spans="4:4" x14ac:dyDescent="0.45">
      <c r="D15839" s="47"/>
    </row>
    <row r="15840" spans="4:4" x14ac:dyDescent="0.45">
      <c r="D15840" s="47"/>
    </row>
    <row r="15841" spans="4:4" x14ac:dyDescent="0.45">
      <c r="D15841" s="47"/>
    </row>
    <row r="15842" spans="4:4" x14ac:dyDescent="0.45">
      <c r="D15842" s="47"/>
    </row>
    <row r="15843" spans="4:4" x14ac:dyDescent="0.45">
      <c r="D15843" s="47"/>
    </row>
    <row r="15844" spans="4:4" x14ac:dyDescent="0.45">
      <c r="D15844" s="47"/>
    </row>
    <row r="15845" spans="4:4" x14ac:dyDescent="0.45">
      <c r="D15845" s="47"/>
    </row>
    <row r="15846" spans="4:4" x14ac:dyDescent="0.45">
      <c r="D15846" s="47"/>
    </row>
    <row r="15847" spans="4:4" x14ac:dyDescent="0.45">
      <c r="D15847" s="47"/>
    </row>
    <row r="15848" spans="4:4" x14ac:dyDescent="0.45">
      <c r="D15848" s="47"/>
    </row>
    <row r="15849" spans="4:4" x14ac:dyDescent="0.45">
      <c r="D15849" s="47"/>
    </row>
    <row r="15850" spans="4:4" x14ac:dyDescent="0.45">
      <c r="D15850" s="47"/>
    </row>
    <row r="15851" spans="4:4" x14ac:dyDescent="0.45">
      <c r="D15851" s="47"/>
    </row>
    <row r="15852" spans="4:4" x14ac:dyDescent="0.45">
      <c r="D15852" s="47"/>
    </row>
    <row r="15853" spans="4:4" x14ac:dyDescent="0.45">
      <c r="D15853" s="47"/>
    </row>
    <row r="15854" spans="4:4" x14ac:dyDescent="0.45">
      <c r="D15854" s="47"/>
    </row>
    <row r="15855" spans="4:4" x14ac:dyDescent="0.45">
      <c r="D15855" s="47"/>
    </row>
    <row r="15856" spans="4:4" x14ac:dyDescent="0.45">
      <c r="D15856" s="47"/>
    </row>
    <row r="15857" spans="4:4" x14ac:dyDescent="0.45">
      <c r="D15857" s="47"/>
    </row>
    <row r="15858" spans="4:4" x14ac:dyDescent="0.45">
      <c r="D15858" s="47"/>
    </row>
    <row r="15859" spans="4:4" x14ac:dyDescent="0.45">
      <c r="D15859" s="47"/>
    </row>
    <row r="15860" spans="4:4" x14ac:dyDescent="0.45">
      <c r="D15860" s="47"/>
    </row>
    <row r="15861" spans="4:4" x14ac:dyDescent="0.45">
      <c r="D15861" s="47"/>
    </row>
    <row r="15862" spans="4:4" x14ac:dyDescent="0.45">
      <c r="D15862" s="47"/>
    </row>
    <row r="15863" spans="4:4" x14ac:dyDescent="0.45">
      <c r="D15863" s="47"/>
    </row>
    <row r="15864" spans="4:4" x14ac:dyDescent="0.45">
      <c r="D15864" s="47"/>
    </row>
    <row r="15865" spans="4:4" x14ac:dyDescent="0.45">
      <c r="D15865" s="47"/>
    </row>
    <row r="15866" spans="4:4" x14ac:dyDescent="0.45">
      <c r="D15866" s="47"/>
    </row>
    <row r="15867" spans="4:4" x14ac:dyDescent="0.45">
      <c r="D15867" s="47"/>
    </row>
    <row r="15868" spans="4:4" x14ac:dyDescent="0.45">
      <c r="D15868" s="47"/>
    </row>
    <row r="15869" spans="4:4" x14ac:dyDescent="0.45">
      <c r="D15869" s="47"/>
    </row>
    <row r="15870" spans="4:4" x14ac:dyDescent="0.45">
      <c r="D15870" s="47"/>
    </row>
    <row r="15871" spans="4:4" x14ac:dyDescent="0.45">
      <c r="D15871" s="47"/>
    </row>
    <row r="15872" spans="4:4" x14ac:dyDescent="0.45">
      <c r="D15872" s="47"/>
    </row>
    <row r="15873" spans="4:4" x14ac:dyDescent="0.45">
      <c r="D15873" s="47"/>
    </row>
    <row r="15874" spans="4:4" x14ac:dyDescent="0.45">
      <c r="D15874" s="47"/>
    </row>
    <row r="15875" spans="4:4" x14ac:dyDescent="0.45">
      <c r="D15875" s="47"/>
    </row>
    <row r="15876" spans="4:4" x14ac:dyDescent="0.45">
      <c r="D15876" s="47"/>
    </row>
    <row r="15877" spans="4:4" x14ac:dyDescent="0.45">
      <c r="D15877" s="47"/>
    </row>
    <row r="15878" spans="4:4" x14ac:dyDescent="0.45">
      <c r="D15878" s="47"/>
    </row>
    <row r="15879" spans="4:4" x14ac:dyDescent="0.45">
      <c r="D15879" s="47"/>
    </row>
    <row r="15880" spans="4:4" x14ac:dyDescent="0.45">
      <c r="D15880" s="47"/>
    </row>
    <row r="15881" spans="4:4" x14ac:dyDescent="0.45">
      <c r="D15881" s="47"/>
    </row>
    <row r="15882" spans="4:4" x14ac:dyDescent="0.45">
      <c r="D15882" s="47"/>
    </row>
    <row r="15883" spans="4:4" x14ac:dyDescent="0.45">
      <c r="D15883" s="47"/>
    </row>
    <row r="15884" spans="4:4" x14ac:dyDescent="0.45">
      <c r="D15884" s="47"/>
    </row>
    <row r="15885" spans="4:4" x14ac:dyDescent="0.45">
      <c r="D15885" s="47"/>
    </row>
    <row r="15886" spans="4:4" x14ac:dyDescent="0.45">
      <c r="D15886" s="47"/>
    </row>
    <row r="15887" spans="4:4" x14ac:dyDescent="0.45">
      <c r="D15887" s="47"/>
    </row>
    <row r="15888" spans="4:4" x14ac:dyDescent="0.45">
      <c r="D15888" s="47"/>
    </row>
    <row r="15889" spans="4:4" x14ac:dyDescent="0.45">
      <c r="D15889" s="47"/>
    </row>
    <row r="15890" spans="4:4" x14ac:dyDescent="0.45">
      <c r="D15890" s="47"/>
    </row>
    <row r="15891" spans="4:4" x14ac:dyDescent="0.45">
      <c r="D15891" s="47"/>
    </row>
    <row r="15892" spans="4:4" x14ac:dyDescent="0.45">
      <c r="D15892" s="47"/>
    </row>
    <row r="15893" spans="4:4" x14ac:dyDescent="0.45">
      <c r="D15893" s="47"/>
    </row>
    <row r="15894" spans="4:4" x14ac:dyDescent="0.45">
      <c r="D15894" s="47"/>
    </row>
    <row r="15895" spans="4:4" x14ac:dyDescent="0.45">
      <c r="D15895" s="47"/>
    </row>
    <row r="15896" spans="4:4" x14ac:dyDescent="0.45">
      <c r="D15896" s="47"/>
    </row>
    <row r="15897" spans="4:4" x14ac:dyDescent="0.45">
      <c r="D15897" s="47"/>
    </row>
    <row r="15898" spans="4:4" x14ac:dyDescent="0.45">
      <c r="D15898" s="47"/>
    </row>
    <row r="15899" spans="4:4" x14ac:dyDescent="0.45">
      <c r="D15899" s="47"/>
    </row>
    <row r="15900" spans="4:4" x14ac:dyDescent="0.45">
      <c r="D15900" s="47"/>
    </row>
    <row r="15901" spans="4:4" x14ac:dyDescent="0.45">
      <c r="D15901" s="47"/>
    </row>
    <row r="15902" spans="4:4" x14ac:dyDescent="0.45">
      <c r="D15902" s="47"/>
    </row>
    <row r="15903" spans="4:4" x14ac:dyDescent="0.45">
      <c r="D15903" s="47"/>
    </row>
    <row r="15904" spans="4:4" x14ac:dyDescent="0.45">
      <c r="D15904" s="47"/>
    </row>
    <row r="15905" spans="4:4" x14ac:dyDescent="0.45">
      <c r="D15905" s="47"/>
    </row>
    <row r="15906" spans="4:4" x14ac:dyDescent="0.45">
      <c r="D15906" s="47"/>
    </row>
    <row r="15907" spans="4:4" x14ac:dyDescent="0.45">
      <c r="D15907" s="47"/>
    </row>
    <row r="15908" spans="4:4" x14ac:dyDescent="0.45">
      <c r="D15908" s="47"/>
    </row>
    <row r="15909" spans="4:4" x14ac:dyDescent="0.45">
      <c r="D15909" s="47"/>
    </row>
    <row r="15910" spans="4:4" x14ac:dyDescent="0.45">
      <c r="D15910" s="47"/>
    </row>
    <row r="15911" spans="4:4" x14ac:dyDescent="0.45">
      <c r="D15911" s="47"/>
    </row>
    <row r="15912" spans="4:4" x14ac:dyDescent="0.45">
      <c r="D15912" s="47"/>
    </row>
    <row r="15913" spans="4:4" x14ac:dyDescent="0.45">
      <c r="D15913" s="47"/>
    </row>
    <row r="15914" spans="4:4" x14ac:dyDescent="0.45">
      <c r="D15914" s="47"/>
    </row>
    <row r="15915" spans="4:4" x14ac:dyDescent="0.45">
      <c r="D15915" s="47"/>
    </row>
    <row r="15916" spans="4:4" x14ac:dyDescent="0.45">
      <c r="D15916" s="47"/>
    </row>
    <row r="15917" spans="4:4" x14ac:dyDescent="0.45">
      <c r="D15917" s="47"/>
    </row>
    <row r="15918" spans="4:4" x14ac:dyDescent="0.45">
      <c r="D15918" s="47"/>
    </row>
    <row r="15919" spans="4:4" x14ac:dyDescent="0.45">
      <c r="D15919" s="47"/>
    </row>
    <row r="15920" spans="4:4" x14ac:dyDescent="0.45">
      <c r="D15920" s="47"/>
    </row>
    <row r="15921" spans="4:4" x14ac:dyDescent="0.45">
      <c r="D15921" s="47"/>
    </row>
    <row r="15922" spans="4:4" x14ac:dyDescent="0.45">
      <c r="D15922" s="47"/>
    </row>
    <row r="15923" spans="4:4" x14ac:dyDescent="0.45">
      <c r="D15923" s="47"/>
    </row>
    <row r="15924" spans="4:4" x14ac:dyDescent="0.45">
      <c r="D15924" s="47"/>
    </row>
    <row r="15925" spans="4:4" x14ac:dyDescent="0.45">
      <c r="D15925" s="47"/>
    </row>
    <row r="15926" spans="4:4" x14ac:dyDescent="0.45">
      <c r="D15926" s="47"/>
    </row>
    <row r="15927" spans="4:4" x14ac:dyDescent="0.45">
      <c r="D15927" s="47"/>
    </row>
    <row r="15928" spans="4:4" x14ac:dyDescent="0.45">
      <c r="D15928" s="47"/>
    </row>
    <row r="15929" spans="4:4" x14ac:dyDescent="0.45">
      <c r="D15929" s="47"/>
    </row>
    <row r="15930" spans="4:4" x14ac:dyDescent="0.45">
      <c r="D15930" s="47"/>
    </row>
    <row r="15931" spans="4:4" x14ac:dyDescent="0.45">
      <c r="D15931" s="47"/>
    </row>
    <row r="15932" spans="4:4" x14ac:dyDescent="0.45">
      <c r="D15932" s="47"/>
    </row>
    <row r="15933" spans="4:4" x14ac:dyDescent="0.45">
      <c r="D15933" s="47"/>
    </row>
    <row r="15934" spans="4:4" x14ac:dyDescent="0.45">
      <c r="D15934" s="47"/>
    </row>
    <row r="15935" spans="4:4" x14ac:dyDescent="0.45">
      <c r="D15935" s="47"/>
    </row>
    <row r="15936" spans="4:4" x14ac:dyDescent="0.45">
      <c r="D15936" s="47"/>
    </row>
    <row r="15937" spans="4:4" x14ac:dyDescent="0.45">
      <c r="D15937" s="47"/>
    </row>
    <row r="15938" spans="4:4" x14ac:dyDescent="0.45">
      <c r="D15938" s="47"/>
    </row>
    <row r="15939" spans="4:4" x14ac:dyDescent="0.45">
      <c r="D15939" s="47"/>
    </row>
    <row r="15940" spans="4:4" x14ac:dyDescent="0.45">
      <c r="D15940" s="47"/>
    </row>
    <row r="15941" spans="4:4" x14ac:dyDescent="0.45">
      <c r="D15941" s="47"/>
    </row>
    <row r="15942" spans="4:4" x14ac:dyDescent="0.45">
      <c r="D15942" s="47"/>
    </row>
    <row r="15943" spans="4:4" x14ac:dyDescent="0.45">
      <c r="D15943" s="47"/>
    </row>
    <row r="15944" spans="4:4" x14ac:dyDescent="0.45">
      <c r="D15944" s="47"/>
    </row>
    <row r="15945" spans="4:4" x14ac:dyDescent="0.45">
      <c r="D15945" s="47"/>
    </row>
    <row r="15946" spans="4:4" x14ac:dyDescent="0.45">
      <c r="D15946" s="47"/>
    </row>
    <row r="15947" spans="4:4" x14ac:dyDescent="0.45">
      <c r="D15947" s="47"/>
    </row>
    <row r="15948" spans="4:4" x14ac:dyDescent="0.45">
      <c r="D15948" s="47"/>
    </row>
    <row r="15949" spans="4:4" x14ac:dyDescent="0.45">
      <c r="D15949" s="47"/>
    </row>
    <row r="15950" spans="4:4" x14ac:dyDescent="0.45">
      <c r="D15950" s="47"/>
    </row>
    <row r="15951" spans="4:4" x14ac:dyDescent="0.45">
      <c r="D15951" s="47"/>
    </row>
    <row r="15952" spans="4:4" x14ac:dyDescent="0.45">
      <c r="D15952" s="47"/>
    </row>
    <row r="15953" spans="4:4" x14ac:dyDescent="0.45">
      <c r="D15953" s="47"/>
    </row>
    <row r="15954" spans="4:4" x14ac:dyDescent="0.45">
      <c r="D15954" s="47"/>
    </row>
    <row r="15955" spans="4:4" x14ac:dyDescent="0.45">
      <c r="D15955" s="47"/>
    </row>
    <row r="15956" spans="4:4" x14ac:dyDescent="0.45">
      <c r="D15956" s="47"/>
    </row>
    <row r="15957" spans="4:4" x14ac:dyDescent="0.45">
      <c r="D15957" s="47"/>
    </row>
    <row r="15958" spans="4:4" x14ac:dyDescent="0.45">
      <c r="D15958" s="47"/>
    </row>
    <row r="15959" spans="4:4" x14ac:dyDescent="0.45">
      <c r="D15959" s="47"/>
    </row>
    <row r="15960" spans="4:4" x14ac:dyDescent="0.45">
      <c r="D15960" s="47"/>
    </row>
    <row r="15961" spans="4:4" x14ac:dyDescent="0.45">
      <c r="D15961" s="47"/>
    </row>
    <row r="15962" spans="4:4" x14ac:dyDescent="0.45">
      <c r="D15962" s="47"/>
    </row>
    <row r="15963" spans="4:4" x14ac:dyDescent="0.45">
      <c r="D15963" s="47"/>
    </row>
    <row r="15964" spans="4:4" x14ac:dyDescent="0.45">
      <c r="D15964" s="47"/>
    </row>
    <row r="15965" spans="4:4" x14ac:dyDescent="0.45">
      <c r="D15965" s="47"/>
    </row>
    <row r="15966" spans="4:4" x14ac:dyDescent="0.45">
      <c r="D15966" s="47"/>
    </row>
    <row r="15967" spans="4:4" x14ac:dyDescent="0.45">
      <c r="D15967" s="47"/>
    </row>
    <row r="15968" spans="4:4" x14ac:dyDescent="0.45">
      <c r="D15968" s="47"/>
    </row>
    <row r="15969" spans="4:4" x14ac:dyDescent="0.45">
      <c r="D15969" s="47"/>
    </row>
    <row r="15970" spans="4:4" x14ac:dyDescent="0.45">
      <c r="D15970" s="47"/>
    </row>
    <row r="15971" spans="4:4" x14ac:dyDescent="0.45">
      <c r="D15971" s="47"/>
    </row>
    <row r="15972" spans="4:4" x14ac:dyDescent="0.45">
      <c r="D15972" s="47"/>
    </row>
    <row r="15973" spans="4:4" x14ac:dyDescent="0.45">
      <c r="D15973" s="47"/>
    </row>
    <row r="15974" spans="4:4" x14ac:dyDescent="0.45">
      <c r="D15974" s="47"/>
    </row>
    <row r="15975" spans="4:4" x14ac:dyDescent="0.45">
      <c r="D15975" s="47"/>
    </row>
    <row r="15976" spans="4:4" x14ac:dyDescent="0.45">
      <c r="D15976" s="47"/>
    </row>
    <row r="15977" spans="4:4" x14ac:dyDescent="0.45">
      <c r="D15977" s="47"/>
    </row>
    <row r="15978" spans="4:4" x14ac:dyDescent="0.45">
      <c r="D15978" s="47"/>
    </row>
    <row r="15979" spans="4:4" x14ac:dyDescent="0.45">
      <c r="D15979" s="47"/>
    </row>
    <row r="15980" spans="4:4" x14ac:dyDescent="0.45">
      <c r="D15980" s="47"/>
    </row>
    <row r="15981" spans="4:4" x14ac:dyDescent="0.45">
      <c r="D15981" s="47"/>
    </row>
    <row r="15982" spans="4:4" x14ac:dyDescent="0.45">
      <c r="D15982" s="47"/>
    </row>
    <row r="15983" spans="4:4" x14ac:dyDescent="0.45">
      <c r="D15983" s="47"/>
    </row>
    <row r="15984" spans="4:4" x14ac:dyDescent="0.45">
      <c r="D15984" s="47"/>
    </row>
    <row r="15985" spans="4:4" x14ac:dyDescent="0.45">
      <c r="D15985" s="47"/>
    </row>
    <row r="15986" spans="4:4" x14ac:dyDescent="0.45">
      <c r="D15986" s="47"/>
    </row>
    <row r="15987" spans="4:4" x14ac:dyDescent="0.45">
      <c r="D15987" s="47"/>
    </row>
    <row r="15988" spans="4:4" x14ac:dyDescent="0.45">
      <c r="D15988" s="47"/>
    </row>
    <row r="15989" spans="4:4" x14ac:dyDescent="0.45">
      <c r="D15989" s="47"/>
    </row>
    <row r="15990" spans="4:4" x14ac:dyDescent="0.45">
      <c r="D15990" s="47"/>
    </row>
    <row r="15991" spans="4:4" x14ac:dyDescent="0.45">
      <c r="D15991" s="47"/>
    </row>
    <row r="15992" spans="4:4" x14ac:dyDescent="0.45">
      <c r="D15992" s="47"/>
    </row>
    <row r="15993" spans="4:4" x14ac:dyDescent="0.45">
      <c r="D15993" s="47"/>
    </row>
    <row r="15994" spans="4:4" x14ac:dyDescent="0.45">
      <c r="D15994" s="47"/>
    </row>
    <row r="15995" spans="4:4" x14ac:dyDescent="0.45">
      <c r="D15995" s="47"/>
    </row>
    <row r="15996" spans="4:4" x14ac:dyDescent="0.45">
      <c r="D15996" s="47"/>
    </row>
    <row r="15997" spans="4:4" x14ac:dyDescent="0.45">
      <c r="D15997" s="47"/>
    </row>
    <row r="15998" spans="4:4" x14ac:dyDescent="0.45">
      <c r="D15998" s="47"/>
    </row>
    <row r="15999" spans="4:4" x14ac:dyDescent="0.45">
      <c r="D15999" s="47"/>
    </row>
    <row r="16000" spans="4:4" x14ac:dyDescent="0.45">
      <c r="D16000" s="47"/>
    </row>
    <row r="16001" spans="4:4" x14ac:dyDescent="0.45">
      <c r="D16001" s="47"/>
    </row>
    <row r="16002" spans="4:4" x14ac:dyDescent="0.45">
      <c r="D16002" s="47"/>
    </row>
    <row r="16003" spans="4:4" x14ac:dyDescent="0.45">
      <c r="D16003" s="47"/>
    </row>
    <row r="16004" spans="4:4" x14ac:dyDescent="0.45">
      <c r="D16004" s="47"/>
    </row>
    <row r="16005" spans="4:4" x14ac:dyDescent="0.45">
      <c r="D16005" s="47"/>
    </row>
    <row r="16006" spans="4:4" x14ac:dyDescent="0.45">
      <c r="D16006" s="47"/>
    </row>
    <row r="16007" spans="4:4" x14ac:dyDescent="0.45">
      <c r="D16007" s="47"/>
    </row>
    <row r="16008" spans="4:4" x14ac:dyDescent="0.45">
      <c r="D16008" s="47"/>
    </row>
    <row r="16009" spans="4:4" x14ac:dyDescent="0.45">
      <c r="D16009" s="47"/>
    </row>
    <row r="16010" spans="4:4" x14ac:dyDescent="0.45">
      <c r="D16010" s="47"/>
    </row>
    <row r="16011" spans="4:4" x14ac:dyDescent="0.45">
      <c r="D16011" s="47"/>
    </row>
    <row r="16012" spans="4:4" x14ac:dyDescent="0.45">
      <c r="D16012" s="47"/>
    </row>
    <row r="16013" spans="4:4" x14ac:dyDescent="0.45">
      <c r="D16013" s="47"/>
    </row>
    <row r="16014" spans="4:4" x14ac:dyDescent="0.45">
      <c r="D16014" s="47"/>
    </row>
    <row r="16015" spans="4:4" x14ac:dyDescent="0.45">
      <c r="D16015" s="47"/>
    </row>
    <row r="16016" spans="4:4" x14ac:dyDescent="0.45">
      <c r="D16016" s="47"/>
    </row>
    <row r="16017" spans="4:4" x14ac:dyDescent="0.45">
      <c r="D16017" s="47"/>
    </row>
    <row r="16018" spans="4:4" x14ac:dyDescent="0.45">
      <c r="D16018" s="47"/>
    </row>
    <row r="16019" spans="4:4" x14ac:dyDescent="0.45">
      <c r="D16019" s="47"/>
    </row>
    <row r="16020" spans="4:4" x14ac:dyDescent="0.45">
      <c r="D16020" s="47"/>
    </row>
    <row r="16021" spans="4:4" x14ac:dyDescent="0.45">
      <c r="D16021" s="47"/>
    </row>
    <row r="16022" spans="4:4" x14ac:dyDescent="0.45">
      <c r="D16022" s="47"/>
    </row>
    <row r="16023" spans="4:4" x14ac:dyDescent="0.45">
      <c r="D16023" s="47"/>
    </row>
    <row r="16024" spans="4:4" x14ac:dyDescent="0.45">
      <c r="D16024" s="47"/>
    </row>
    <row r="16025" spans="4:4" x14ac:dyDescent="0.45">
      <c r="D16025" s="47"/>
    </row>
    <row r="16026" spans="4:4" x14ac:dyDescent="0.45">
      <c r="D16026" s="47"/>
    </row>
    <row r="16027" spans="4:4" x14ac:dyDescent="0.45">
      <c r="D16027" s="47"/>
    </row>
    <row r="16028" spans="4:4" x14ac:dyDescent="0.45">
      <c r="D16028" s="47"/>
    </row>
    <row r="16029" spans="4:4" x14ac:dyDescent="0.45">
      <c r="D16029" s="47"/>
    </row>
    <row r="16030" spans="4:4" x14ac:dyDescent="0.45">
      <c r="D16030" s="47"/>
    </row>
    <row r="16031" spans="4:4" x14ac:dyDescent="0.45">
      <c r="D16031" s="47"/>
    </row>
    <row r="16032" spans="4:4" x14ac:dyDescent="0.45">
      <c r="D16032" s="47"/>
    </row>
    <row r="16033" spans="4:4" x14ac:dyDescent="0.45">
      <c r="D16033" s="47"/>
    </row>
    <row r="16034" spans="4:4" x14ac:dyDescent="0.45">
      <c r="D16034" s="47"/>
    </row>
    <row r="16035" spans="4:4" x14ac:dyDescent="0.45">
      <c r="D16035" s="47"/>
    </row>
    <row r="16036" spans="4:4" x14ac:dyDescent="0.45">
      <c r="D16036" s="47"/>
    </row>
    <row r="16037" spans="4:4" x14ac:dyDescent="0.45">
      <c r="D16037" s="47"/>
    </row>
    <row r="16038" spans="4:4" x14ac:dyDescent="0.45">
      <c r="D16038" s="47"/>
    </row>
    <row r="16039" spans="4:4" x14ac:dyDescent="0.45">
      <c r="D16039" s="47"/>
    </row>
    <row r="16040" spans="4:4" x14ac:dyDescent="0.45">
      <c r="D16040" s="47"/>
    </row>
    <row r="16041" spans="4:4" x14ac:dyDescent="0.45">
      <c r="D16041" s="47"/>
    </row>
    <row r="16042" spans="4:4" x14ac:dyDescent="0.45">
      <c r="D16042" s="47"/>
    </row>
    <row r="16043" spans="4:4" x14ac:dyDescent="0.45">
      <c r="D16043" s="47"/>
    </row>
    <row r="16044" spans="4:4" x14ac:dyDescent="0.45">
      <c r="D16044" s="47"/>
    </row>
    <row r="16045" spans="4:4" x14ac:dyDescent="0.45">
      <c r="D16045" s="47"/>
    </row>
    <row r="16046" spans="4:4" x14ac:dyDescent="0.45">
      <c r="D16046" s="47"/>
    </row>
    <row r="16047" spans="4:4" x14ac:dyDescent="0.45">
      <c r="D16047" s="47"/>
    </row>
    <row r="16048" spans="4:4" x14ac:dyDescent="0.45">
      <c r="D16048" s="47"/>
    </row>
    <row r="16049" spans="4:4" x14ac:dyDescent="0.45">
      <c r="D16049" s="47"/>
    </row>
    <row r="16050" spans="4:4" x14ac:dyDescent="0.45">
      <c r="D16050" s="47"/>
    </row>
    <row r="16051" spans="4:4" x14ac:dyDescent="0.45">
      <c r="D16051" s="47"/>
    </row>
    <row r="16052" spans="4:4" x14ac:dyDescent="0.45">
      <c r="D16052" s="47"/>
    </row>
    <row r="16053" spans="4:4" x14ac:dyDescent="0.45">
      <c r="D16053" s="47"/>
    </row>
    <row r="16054" spans="4:4" x14ac:dyDescent="0.45">
      <c r="D16054" s="47"/>
    </row>
    <row r="16055" spans="4:4" x14ac:dyDescent="0.45">
      <c r="D16055" s="47"/>
    </row>
    <row r="16056" spans="4:4" x14ac:dyDescent="0.45">
      <c r="D16056" s="47"/>
    </row>
    <row r="16057" spans="4:4" x14ac:dyDescent="0.45">
      <c r="D16057" s="47"/>
    </row>
    <row r="16058" spans="4:4" x14ac:dyDescent="0.45">
      <c r="D16058" s="47"/>
    </row>
    <row r="16059" spans="4:4" x14ac:dyDescent="0.45">
      <c r="D16059" s="47"/>
    </row>
    <row r="16060" spans="4:4" x14ac:dyDescent="0.45">
      <c r="D16060" s="47"/>
    </row>
    <row r="16061" spans="4:4" x14ac:dyDescent="0.45">
      <c r="D16061" s="47"/>
    </row>
    <row r="16062" spans="4:4" x14ac:dyDescent="0.45">
      <c r="D16062" s="47"/>
    </row>
    <row r="16063" spans="4:4" x14ac:dyDescent="0.45">
      <c r="D16063" s="47"/>
    </row>
    <row r="16064" spans="4:4" x14ac:dyDescent="0.45">
      <c r="D16064" s="47"/>
    </row>
    <row r="16065" spans="4:4" x14ac:dyDescent="0.45">
      <c r="D16065" s="47"/>
    </row>
    <row r="16066" spans="4:4" x14ac:dyDescent="0.45">
      <c r="D16066" s="47"/>
    </row>
    <row r="16067" spans="4:4" x14ac:dyDescent="0.45">
      <c r="D16067" s="47"/>
    </row>
    <row r="16068" spans="4:4" x14ac:dyDescent="0.45">
      <c r="D16068" s="47"/>
    </row>
    <row r="16069" spans="4:4" x14ac:dyDescent="0.45">
      <c r="D16069" s="47"/>
    </row>
    <row r="16070" spans="4:4" x14ac:dyDescent="0.45">
      <c r="D16070" s="47"/>
    </row>
    <row r="16071" spans="4:4" x14ac:dyDescent="0.45">
      <c r="D16071" s="47"/>
    </row>
    <row r="16072" spans="4:4" x14ac:dyDescent="0.45">
      <c r="D16072" s="47"/>
    </row>
    <row r="16073" spans="4:4" x14ac:dyDescent="0.45">
      <c r="D16073" s="47"/>
    </row>
    <row r="16074" spans="4:4" x14ac:dyDescent="0.45">
      <c r="D16074" s="47"/>
    </row>
    <row r="16075" spans="4:4" x14ac:dyDescent="0.45">
      <c r="D16075" s="47"/>
    </row>
    <row r="16076" spans="4:4" x14ac:dyDescent="0.45">
      <c r="D16076" s="47"/>
    </row>
    <row r="16077" spans="4:4" x14ac:dyDescent="0.45">
      <c r="D16077" s="47"/>
    </row>
    <row r="16078" spans="4:4" x14ac:dyDescent="0.45">
      <c r="D16078" s="47"/>
    </row>
    <row r="16079" spans="4:4" x14ac:dyDescent="0.45">
      <c r="D16079" s="47"/>
    </row>
    <row r="16080" spans="4:4" x14ac:dyDescent="0.45">
      <c r="D16080" s="47"/>
    </row>
    <row r="16081" spans="4:4" x14ac:dyDescent="0.45">
      <c r="D16081" s="47"/>
    </row>
    <row r="16082" spans="4:4" x14ac:dyDescent="0.45">
      <c r="D16082" s="47"/>
    </row>
    <row r="16083" spans="4:4" x14ac:dyDescent="0.45">
      <c r="D16083" s="47"/>
    </row>
    <row r="16084" spans="4:4" x14ac:dyDescent="0.45">
      <c r="D16084" s="47"/>
    </row>
    <row r="16085" spans="4:4" x14ac:dyDescent="0.45">
      <c r="D16085" s="47"/>
    </row>
    <row r="16086" spans="4:4" x14ac:dyDescent="0.45">
      <c r="D16086" s="47"/>
    </row>
    <row r="16087" spans="4:4" x14ac:dyDescent="0.45">
      <c r="D16087" s="47"/>
    </row>
    <row r="16088" spans="4:4" x14ac:dyDescent="0.45">
      <c r="D16088" s="47"/>
    </row>
    <row r="16089" spans="4:4" x14ac:dyDescent="0.45">
      <c r="D16089" s="47"/>
    </row>
    <row r="16090" spans="4:4" x14ac:dyDescent="0.45">
      <c r="D16090" s="47"/>
    </row>
    <row r="16091" spans="4:4" x14ac:dyDescent="0.45">
      <c r="D16091" s="47"/>
    </row>
    <row r="16092" spans="4:4" x14ac:dyDescent="0.45">
      <c r="D16092" s="47"/>
    </row>
    <row r="16093" spans="4:4" x14ac:dyDescent="0.45">
      <c r="D16093" s="47"/>
    </row>
    <row r="16094" spans="4:4" x14ac:dyDescent="0.45">
      <c r="D16094" s="47"/>
    </row>
    <row r="16095" spans="4:4" x14ac:dyDescent="0.45">
      <c r="D16095" s="47"/>
    </row>
    <row r="16096" spans="4:4" x14ac:dyDescent="0.45">
      <c r="D16096" s="47"/>
    </row>
    <row r="16097" spans="4:4" x14ac:dyDescent="0.45">
      <c r="D16097" s="47"/>
    </row>
    <row r="16098" spans="4:4" x14ac:dyDescent="0.45">
      <c r="D16098" s="47"/>
    </row>
    <row r="16099" spans="4:4" x14ac:dyDescent="0.45">
      <c r="D16099" s="47"/>
    </row>
    <row r="16100" spans="4:4" x14ac:dyDescent="0.45">
      <c r="D16100" s="47"/>
    </row>
    <row r="16101" spans="4:4" x14ac:dyDescent="0.45">
      <c r="D16101" s="47"/>
    </row>
    <row r="16102" spans="4:4" x14ac:dyDescent="0.45">
      <c r="D16102" s="47"/>
    </row>
    <row r="16103" spans="4:4" x14ac:dyDescent="0.45">
      <c r="D16103" s="47"/>
    </row>
    <row r="16104" spans="4:4" x14ac:dyDescent="0.45">
      <c r="D16104" s="47"/>
    </row>
    <row r="16105" spans="4:4" x14ac:dyDescent="0.45">
      <c r="D16105" s="47"/>
    </row>
    <row r="16106" spans="4:4" x14ac:dyDescent="0.45">
      <c r="D16106" s="47"/>
    </row>
    <row r="16107" spans="4:4" x14ac:dyDescent="0.45">
      <c r="D16107" s="47"/>
    </row>
    <row r="16108" spans="4:4" x14ac:dyDescent="0.45">
      <c r="D16108" s="47"/>
    </row>
    <row r="16109" spans="4:4" x14ac:dyDescent="0.45">
      <c r="D16109" s="47"/>
    </row>
    <row r="16110" spans="4:4" x14ac:dyDescent="0.45">
      <c r="D16110" s="47"/>
    </row>
    <row r="16111" spans="4:4" x14ac:dyDescent="0.45">
      <c r="D16111" s="47"/>
    </row>
    <row r="16112" spans="4:4" x14ac:dyDescent="0.45">
      <c r="D16112" s="47"/>
    </row>
    <row r="16113" spans="4:4" x14ac:dyDescent="0.45">
      <c r="D16113" s="47"/>
    </row>
    <row r="16114" spans="4:4" x14ac:dyDescent="0.45">
      <c r="D16114" s="47"/>
    </row>
    <row r="16115" spans="4:4" x14ac:dyDescent="0.45">
      <c r="D16115" s="47"/>
    </row>
    <row r="16116" spans="4:4" x14ac:dyDescent="0.45">
      <c r="D16116" s="47"/>
    </row>
    <row r="16117" spans="4:4" x14ac:dyDescent="0.45">
      <c r="D16117" s="47"/>
    </row>
    <row r="16118" spans="4:4" x14ac:dyDescent="0.45">
      <c r="D16118" s="47"/>
    </row>
    <row r="16119" spans="4:4" x14ac:dyDescent="0.45">
      <c r="D16119" s="47"/>
    </row>
    <row r="16120" spans="4:4" x14ac:dyDescent="0.45">
      <c r="D16120" s="47"/>
    </row>
    <row r="16121" spans="4:4" x14ac:dyDescent="0.45">
      <c r="D16121" s="47"/>
    </row>
    <row r="16122" spans="4:4" x14ac:dyDescent="0.45">
      <c r="D16122" s="47"/>
    </row>
    <row r="16123" spans="4:4" x14ac:dyDescent="0.45">
      <c r="D16123" s="47"/>
    </row>
    <row r="16124" spans="4:4" x14ac:dyDescent="0.45">
      <c r="D16124" s="47"/>
    </row>
    <row r="16125" spans="4:4" x14ac:dyDescent="0.45">
      <c r="D16125" s="47"/>
    </row>
    <row r="16126" spans="4:4" x14ac:dyDescent="0.45">
      <c r="D16126" s="47"/>
    </row>
    <row r="16127" spans="4:4" x14ac:dyDescent="0.45">
      <c r="D16127" s="47"/>
    </row>
    <row r="16128" spans="4:4" x14ac:dyDescent="0.45">
      <c r="D16128" s="47"/>
    </row>
    <row r="16129" spans="4:4" x14ac:dyDescent="0.45">
      <c r="D16129" s="47"/>
    </row>
    <row r="16130" spans="4:4" x14ac:dyDescent="0.45">
      <c r="D16130" s="47"/>
    </row>
    <row r="16131" spans="4:4" x14ac:dyDescent="0.45">
      <c r="D16131" s="47"/>
    </row>
    <row r="16132" spans="4:4" x14ac:dyDescent="0.45">
      <c r="D16132" s="47"/>
    </row>
    <row r="16133" spans="4:4" x14ac:dyDescent="0.45">
      <c r="D16133" s="47"/>
    </row>
    <row r="16134" spans="4:4" x14ac:dyDescent="0.45">
      <c r="D16134" s="47"/>
    </row>
    <row r="16135" spans="4:4" x14ac:dyDescent="0.45">
      <c r="D16135" s="47"/>
    </row>
    <row r="16136" spans="4:4" x14ac:dyDescent="0.45">
      <c r="D16136" s="47"/>
    </row>
    <row r="16137" spans="4:4" x14ac:dyDescent="0.45">
      <c r="D16137" s="47"/>
    </row>
    <row r="16138" spans="4:4" x14ac:dyDescent="0.45">
      <c r="D16138" s="47"/>
    </row>
    <row r="16139" spans="4:4" x14ac:dyDescent="0.45">
      <c r="D16139" s="47"/>
    </row>
    <row r="16140" spans="4:4" x14ac:dyDescent="0.45">
      <c r="D16140" s="47"/>
    </row>
    <row r="16141" spans="4:4" x14ac:dyDescent="0.45">
      <c r="D16141" s="47"/>
    </row>
    <row r="16142" spans="4:4" x14ac:dyDescent="0.45">
      <c r="D16142" s="47"/>
    </row>
    <row r="16143" spans="4:4" x14ac:dyDescent="0.45">
      <c r="D16143" s="47"/>
    </row>
    <row r="16144" spans="4:4" x14ac:dyDescent="0.45">
      <c r="D16144" s="47"/>
    </row>
    <row r="16145" spans="4:4" x14ac:dyDescent="0.45">
      <c r="D16145" s="47"/>
    </row>
    <row r="16146" spans="4:4" x14ac:dyDescent="0.45">
      <c r="D16146" s="47"/>
    </row>
    <row r="16147" spans="4:4" x14ac:dyDescent="0.45">
      <c r="D16147" s="47"/>
    </row>
    <row r="16148" spans="4:4" x14ac:dyDescent="0.45">
      <c r="D16148" s="47"/>
    </row>
    <row r="16149" spans="4:4" x14ac:dyDescent="0.45">
      <c r="D16149" s="47"/>
    </row>
    <row r="16150" spans="4:4" x14ac:dyDescent="0.45">
      <c r="D16150" s="47"/>
    </row>
    <row r="16151" spans="4:4" x14ac:dyDescent="0.45">
      <c r="D16151" s="47"/>
    </row>
    <row r="16152" spans="4:4" x14ac:dyDescent="0.45">
      <c r="D16152" s="47"/>
    </row>
    <row r="16153" spans="4:4" x14ac:dyDescent="0.45">
      <c r="D16153" s="47"/>
    </row>
    <row r="16154" spans="4:4" x14ac:dyDescent="0.45">
      <c r="D16154" s="47"/>
    </row>
    <row r="16155" spans="4:4" x14ac:dyDescent="0.45">
      <c r="D16155" s="47"/>
    </row>
    <row r="16156" spans="4:4" x14ac:dyDescent="0.45">
      <c r="D16156" s="47"/>
    </row>
    <row r="16157" spans="4:4" x14ac:dyDescent="0.45">
      <c r="D16157" s="47"/>
    </row>
    <row r="16158" spans="4:4" x14ac:dyDescent="0.45">
      <c r="D16158" s="47"/>
    </row>
    <row r="16159" spans="4:4" x14ac:dyDescent="0.45">
      <c r="D16159" s="47"/>
    </row>
    <row r="16160" spans="4:4" x14ac:dyDescent="0.45">
      <c r="D16160" s="47"/>
    </row>
    <row r="16161" spans="4:4" x14ac:dyDescent="0.45">
      <c r="D16161" s="47"/>
    </row>
    <row r="16162" spans="4:4" x14ac:dyDescent="0.45">
      <c r="D16162" s="47"/>
    </row>
    <row r="16163" spans="4:4" x14ac:dyDescent="0.45">
      <c r="D16163" s="47"/>
    </row>
    <row r="16164" spans="4:4" x14ac:dyDescent="0.45">
      <c r="D16164" s="47"/>
    </row>
    <row r="16165" spans="4:4" x14ac:dyDescent="0.45">
      <c r="D16165" s="47"/>
    </row>
    <row r="16166" spans="4:4" x14ac:dyDescent="0.45">
      <c r="D16166" s="47"/>
    </row>
    <row r="16167" spans="4:4" x14ac:dyDescent="0.45">
      <c r="D16167" s="47"/>
    </row>
    <row r="16168" spans="4:4" x14ac:dyDescent="0.45">
      <c r="D16168" s="47"/>
    </row>
    <row r="16169" spans="4:4" x14ac:dyDescent="0.45">
      <c r="D16169" s="47"/>
    </row>
    <row r="16170" spans="4:4" x14ac:dyDescent="0.45">
      <c r="D16170" s="47"/>
    </row>
    <row r="16171" spans="4:4" x14ac:dyDescent="0.45">
      <c r="D16171" s="47"/>
    </row>
    <row r="16172" spans="4:4" x14ac:dyDescent="0.45">
      <c r="D16172" s="47"/>
    </row>
    <row r="16173" spans="4:4" x14ac:dyDescent="0.45">
      <c r="D16173" s="47"/>
    </row>
    <row r="16174" spans="4:4" x14ac:dyDescent="0.45">
      <c r="D16174" s="47"/>
    </row>
    <row r="16175" spans="4:4" x14ac:dyDescent="0.45">
      <c r="D16175" s="47"/>
    </row>
    <row r="16176" spans="4:4" x14ac:dyDescent="0.45">
      <c r="D16176" s="47"/>
    </row>
    <row r="16177" spans="4:4" x14ac:dyDescent="0.45">
      <c r="D16177" s="47"/>
    </row>
    <row r="16178" spans="4:4" x14ac:dyDescent="0.45">
      <c r="D16178" s="47"/>
    </row>
    <row r="16179" spans="4:4" x14ac:dyDescent="0.45">
      <c r="D16179" s="47"/>
    </row>
    <row r="16180" spans="4:4" x14ac:dyDescent="0.45">
      <c r="D16180" s="47"/>
    </row>
    <row r="16181" spans="4:4" x14ac:dyDescent="0.45">
      <c r="D16181" s="47"/>
    </row>
    <row r="16182" spans="4:4" x14ac:dyDescent="0.45">
      <c r="D16182" s="47"/>
    </row>
    <row r="16183" spans="4:4" x14ac:dyDescent="0.45">
      <c r="D16183" s="47"/>
    </row>
    <row r="16184" spans="4:4" x14ac:dyDescent="0.45">
      <c r="D16184" s="47"/>
    </row>
    <row r="16185" spans="4:4" x14ac:dyDescent="0.45">
      <c r="D16185" s="47"/>
    </row>
    <row r="16186" spans="4:4" x14ac:dyDescent="0.45">
      <c r="D16186" s="47"/>
    </row>
    <row r="16187" spans="4:4" x14ac:dyDescent="0.45">
      <c r="D16187" s="47"/>
    </row>
    <row r="16188" spans="4:4" x14ac:dyDescent="0.45">
      <c r="D16188" s="47"/>
    </row>
    <row r="16189" spans="4:4" x14ac:dyDescent="0.45">
      <c r="D16189" s="47"/>
    </row>
    <row r="16190" spans="4:4" x14ac:dyDescent="0.45">
      <c r="D16190" s="47"/>
    </row>
    <row r="16191" spans="4:4" x14ac:dyDescent="0.45">
      <c r="D16191" s="47"/>
    </row>
    <row r="16192" spans="4:4" x14ac:dyDescent="0.45">
      <c r="D16192" s="47"/>
    </row>
    <row r="16193" spans="4:4" x14ac:dyDescent="0.45">
      <c r="D16193" s="47"/>
    </row>
    <row r="16194" spans="4:4" x14ac:dyDescent="0.45">
      <c r="D16194" s="47"/>
    </row>
    <row r="16195" spans="4:4" x14ac:dyDescent="0.45">
      <c r="D16195" s="47"/>
    </row>
    <row r="16196" spans="4:4" x14ac:dyDescent="0.45">
      <c r="D16196" s="47"/>
    </row>
    <row r="16197" spans="4:4" x14ac:dyDescent="0.45">
      <c r="D16197" s="47"/>
    </row>
    <row r="16198" spans="4:4" x14ac:dyDescent="0.45">
      <c r="D16198" s="47"/>
    </row>
    <row r="16199" spans="4:4" x14ac:dyDescent="0.45">
      <c r="D16199" s="47"/>
    </row>
    <row r="16200" spans="4:4" x14ac:dyDescent="0.45">
      <c r="D16200" s="47"/>
    </row>
    <row r="16201" spans="4:4" x14ac:dyDescent="0.45">
      <c r="D16201" s="47"/>
    </row>
    <row r="16202" spans="4:4" x14ac:dyDescent="0.45">
      <c r="D16202" s="47"/>
    </row>
    <row r="16203" spans="4:4" x14ac:dyDescent="0.45">
      <c r="D16203" s="47"/>
    </row>
    <row r="16204" spans="4:4" x14ac:dyDescent="0.45">
      <c r="D16204" s="47"/>
    </row>
    <row r="16205" spans="4:4" x14ac:dyDescent="0.45">
      <c r="D16205" s="47"/>
    </row>
    <row r="16206" spans="4:4" x14ac:dyDescent="0.45">
      <c r="D16206" s="47"/>
    </row>
    <row r="16207" spans="4:4" x14ac:dyDescent="0.45">
      <c r="D16207" s="47"/>
    </row>
    <row r="16208" spans="4:4" x14ac:dyDescent="0.45">
      <c r="D16208" s="47"/>
    </row>
    <row r="16209" spans="4:4" x14ac:dyDescent="0.45">
      <c r="D16209" s="47"/>
    </row>
    <row r="16210" spans="4:4" x14ac:dyDescent="0.45">
      <c r="D16210" s="47"/>
    </row>
    <row r="16211" spans="4:4" x14ac:dyDescent="0.45">
      <c r="D16211" s="47"/>
    </row>
    <row r="16212" spans="4:4" x14ac:dyDescent="0.45">
      <c r="D16212" s="47"/>
    </row>
    <row r="16213" spans="4:4" x14ac:dyDescent="0.45">
      <c r="D16213" s="47"/>
    </row>
    <row r="16214" spans="4:4" x14ac:dyDescent="0.45">
      <c r="D16214" s="47"/>
    </row>
    <row r="16215" spans="4:4" x14ac:dyDescent="0.45">
      <c r="D16215" s="47"/>
    </row>
    <row r="16216" spans="4:4" x14ac:dyDescent="0.45">
      <c r="D16216" s="47"/>
    </row>
    <row r="16217" spans="4:4" x14ac:dyDescent="0.45">
      <c r="D16217" s="47"/>
    </row>
    <row r="16218" spans="4:4" x14ac:dyDescent="0.45">
      <c r="D16218" s="47"/>
    </row>
    <row r="16219" spans="4:4" x14ac:dyDescent="0.45">
      <c r="D16219" s="47"/>
    </row>
    <row r="16220" spans="4:4" x14ac:dyDescent="0.45">
      <c r="D16220" s="47"/>
    </row>
    <row r="16221" spans="4:4" x14ac:dyDescent="0.45">
      <c r="D16221" s="47"/>
    </row>
    <row r="16222" spans="4:4" x14ac:dyDescent="0.45">
      <c r="D16222" s="47"/>
    </row>
    <row r="16223" spans="4:4" x14ac:dyDescent="0.45">
      <c r="D16223" s="47"/>
    </row>
    <row r="16224" spans="4:4" x14ac:dyDescent="0.45">
      <c r="D16224" s="47"/>
    </row>
    <row r="16225" spans="4:4" x14ac:dyDescent="0.45">
      <c r="D16225" s="47"/>
    </row>
    <row r="16226" spans="4:4" x14ac:dyDescent="0.45">
      <c r="D16226" s="47"/>
    </row>
    <row r="16227" spans="4:4" x14ac:dyDescent="0.45">
      <c r="D16227" s="47"/>
    </row>
    <row r="16228" spans="4:4" x14ac:dyDescent="0.45">
      <c r="D16228" s="47"/>
    </row>
    <row r="16229" spans="4:4" x14ac:dyDescent="0.45">
      <c r="D16229" s="47"/>
    </row>
    <row r="16230" spans="4:4" x14ac:dyDescent="0.45">
      <c r="D16230" s="47"/>
    </row>
    <row r="16231" spans="4:4" x14ac:dyDescent="0.45">
      <c r="D16231" s="47"/>
    </row>
    <row r="16232" spans="4:4" x14ac:dyDescent="0.45">
      <c r="D16232" s="47"/>
    </row>
    <row r="16233" spans="4:4" x14ac:dyDescent="0.45">
      <c r="D16233" s="47"/>
    </row>
    <row r="16234" spans="4:4" x14ac:dyDescent="0.45">
      <c r="D16234" s="47"/>
    </row>
    <row r="16235" spans="4:4" x14ac:dyDescent="0.45">
      <c r="D16235" s="47"/>
    </row>
    <row r="16236" spans="4:4" x14ac:dyDescent="0.45">
      <c r="D16236" s="47"/>
    </row>
    <row r="16237" spans="4:4" x14ac:dyDescent="0.45">
      <c r="D16237" s="47"/>
    </row>
    <row r="16238" spans="4:4" x14ac:dyDescent="0.45">
      <c r="D16238" s="47"/>
    </row>
    <row r="16239" spans="4:4" x14ac:dyDescent="0.45">
      <c r="D16239" s="47"/>
    </row>
    <row r="16240" spans="4:4" x14ac:dyDescent="0.45">
      <c r="D16240" s="47"/>
    </row>
    <row r="16241" spans="4:4" x14ac:dyDescent="0.45">
      <c r="D16241" s="47"/>
    </row>
    <row r="16242" spans="4:4" x14ac:dyDescent="0.45">
      <c r="D16242" s="47"/>
    </row>
    <row r="16243" spans="4:4" x14ac:dyDescent="0.45">
      <c r="D16243" s="47"/>
    </row>
    <row r="16244" spans="4:4" x14ac:dyDescent="0.45">
      <c r="D16244" s="47"/>
    </row>
    <row r="16245" spans="4:4" x14ac:dyDescent="0.45">
      <c r="D16245" s="47"/>
    </row>
    <row r="16246" spans="4:4" x14ac:dyDescent="0.45">
      <c r="D16246" s="47"/>
    </row>
    <row r="16247" spans="4:4" x14ac:dyDescent="0.45">
      <c r="D16247" s="47"/>
    </row>
    <row r="16248" spans="4:4" x14ac:dyDescent="0.45">
      <c r="D16248" s="47"/>
    </row>
    <row r="16249" spans="4:4" x14ac:dyDescent="0.45">
      <c r="D16249" s="47"/>
    </row>
    <row r="16250" spans="4:4" x14ac:dyDescent="0.45">
      <c r="D16250" s="47"/>
    </row>
    <row r="16251" spans="4:4" x14ac:dyDescent="0.45">
      <c r="D16251" s="47"/>
    </row>
    <row r="16252" spans="4:4" x14ac:dyDescent="0.45">
      <c r="D16252" s="47"/>
    </row>
    <row r="16253" spans="4:4" x14ac:dyDescent="0.45">
      <c r="D16253" s="47"/>
    </row>
    <row r="16254" spans="4:4" x14ac:dyDescent="0.45">
      <c r="D16254" s="47"/>
    </row>
    <row r="16255" spans="4:4" x14ac:dyDescent="0.45">
      <c r="D16255" s="47"/>
    </row>
    <row r="16256" spans="4:4" x14ac:dyDescent="0.45">
      <c r="D16256" s="47"/>
    </row>
    <row r="16257" spans="4:4" x14ac:dyDescent="0.45">
      <c r="D16257" s="47"/>
    </row>
    <row r="16258" spans="4:4" x14ac:dyDescent="0.45">
      <c r="D16258" s="47"/>
    </row>
    <row r="16259" spans="4:4" x14ac:dyDescent="0.45">
      <c r="D16259" s="47"/>
    </row>
    <row r="16260" spans="4:4" x14ac:dyDescent="0.45">
      <c r="D16260" s="47"/>
    </row>
    <row r="16261" spans="4:4" x14ac:dyDescent="0.45">
      <c r="D16261" s="47"/>
    </row>
    <row r="16262" spans="4:4" x14ac:dyDescent="0.45">
      <c r="D16262" s="47"/>
    </row>
    <row r="16263" spans="4:4" x14ac:dyDescent="0.45">
      <c r="D16263" s="47"/>
    </row>
    <row r="16264" spans="4:4" x14ac:dyDescent="0.45">
      <c r="D16264" s="47"/>
    </row>
    <row r="16265" spans="4:4" x14ac:dyDescent="0.45">
      <c r="D16265" s="47"/>
    </row>
    <row r="16266" spans="4:4" x14ac:dyDescent="0.45">
      <c r="D16266" s="47"/>
    </row>
    <row r="16267" spans="4:4" x14ac:dyDescent="0.45">
      <c r="D16267" s="47"/>
    </row>
    <row r="16268" spans="4:4" x14ac:dyDescent="0.45">
      <c r="D16268" s="47"/>
    </row>
    <row r="16269" spans="4:4" x14ac:dyDescent="0.45">
      <c r="D16269" s="47"/>
    </row>
    <row r="16270" spans="4:4" x14ac:dyDescent="0.45">
      <c r="D16270" s="47"/>
    </row>
    <row r="16271" spans="4:4" x14ac:dyDescent="0.45">
      <c r="D16271" s="47"/>
    </row>
    <row r="16272" spans="4:4" x14ac:dyDescent="0.45">
      <c r="D16272" s="47"/>
    </row>
    <row r="16273" spans="4:4" x14ac:dyDescent="0.45">
      <c r="D16273" s="47"/>
    </row>
    <row r="16274" spans="4:4" x14ac:dyDescent="0.45">
      <c r="D16274" s="47"/>
    </row>
    <row r="16275" spans="4:4" x14ac:dyDescent="0.45">
      <c r="D16275" s="47"/>
    </row>
    <row r="16276" spans="4:4" x14ac:dyDescent="0.45">
      <c r="D16276" s="47"/>
    </row>
    <row r="16277" spans="4:4" x14ac:dyDescent="0.45">
      <c r="D16277" s="47"/>
    </row>
    <row r="16278" spans="4:4" x14ac:dyDescent="0.45">
      <c r="D16278" s="47"/>
    </row>
    <row r="16279" spans="4:4" x14ac:dyDescent="0.45">
      <c r="D16279" s="47"/>
    </row>
    <row r="16280" spans="4:4" x14ac:dyDescent="0.45">
      <c r="D16280" s="47"/>
    </row>
    <row r="16281" spans="4:4" x14ac:dyDescent="0.45">
      <c r="D16281" s="47"/>
    </row>
    <row r="16282" spans="4:4" x14ac:dyDescent="0.45">
      <c r="D16282" s="47"/>
    </row>
    <row r="16283" spans="4:4" x14ac:dyDescent="0.45">
      <c r="D16283" s="47"/>
    </row>
    <row r="16284" spans="4:4" x14ac:dyDescent="0.45">
      <c r="D16284" s="47"/>
    </row>
    <row r="16285" spans="4:4" x14ac:dyDescent="0.45">
      <c r="D16285" s="47"/>
    </row>
    <row r="16286" spans="4:4" x14ac:dyDescent="0.45">
      <c r="D16286" s="47"/>
    </row>
    <row r="16287" spans="4:4" x14ac:dyDescent="0.45">
      <c r="D16287" s="47"/>
    </row>
    <row r="16288" spans="4:4" x14ac:dyDescent="0.45">
      <c r="D16288" s="47"/>
    </row>
    <row r="16289" spans="4:4" x14ac:dyDescent="0.45">
      <c r="D16289" s="47"/>
    </row>
    <row r="16290" spans="4:4" x14ac:dyDescent="0.45">
      <c r="D16290" s="47"/>
    </row>
    <row r="16291" spans="4:4" x14ac:dyDescent="0.45">
      <c r="D16291" s="47"/>
    </row>
    <row r="16292" spans="4:4" x14ac:dyDescent="0.45">
      <c r="D16292" s="47"/>
    </row>
    <row r="16293" spans="4:4" x14ac:dyDescent="0.45">
      <c r="D16293" s="47"/>
    </row>
    <row r="16294" spans="4:4" x14ac:dyDescent="0.45">
      <c r="D16294" s="47"/>
    </row>
    <row r="16295" spans="4:4" x14ac:dyDescent="0.45">
      <c r="D16295" s="47"/>
    </row>
    <row r="16296" spans="4:4" x14ac:dyDescent="0.45">
      <c r="D16296" s="47"/>
    </row>
    <row r="16297" spans="4:4" x14ac:dyDescent="0.45">
      <c r="D16297" s="47"/>
    </row>
    <row r="16298" spans="4:4" x14ac:dyDescent="0.45">
      <c r="D16298" s="47"/>
    </row>
    <row r="16299" spans="4:4" x14ac:dyDescent="0.45">
      <c r="D16299" s="47"/>
    </row>
    <row r="16300" spans="4:4" x14ac:dyDescent="0.45">
      <c r="D16300" s="47"/>
    </row>
    <row r="16301" spans="4:4" x14ac:dyDescent="0.45">
      <c r="D16301" s="47"/>
    </row>
    <row r="16302" spans="4:4" x14ac:dyDescent="0.45">
      <c r="D16302" s="47"/>
    </row>
    <row r="16303" spans="4:4" x14ac:dyDescent="0.45">
      <c r="D16303" s="47"/>
    </row>
    <row r="16304" spans="4:4" x14ac:dyDescent="0.45">
      <c r="D16304" s="47"/>
    </row>
    <row r="16305" spans="4:4" x14ac:dyDescent="0.45">
      <c r="D16305" s="47"/>
    </row>
    <row r="16306" spans="4:4" x14ac:dyDescent="0.45">
      <c r="D16306" s="47"/>
    </row>
    <row r="16307" spans="4:4" x14ac:dyDescent="0.45">
      <c r="D16307" s="47"/>
    </row>
    <row r="16308" spans="4:4" x14ac:dyDescent="0.45">
      <c r="D16308" s="47"/>
    </row>
    <row r="16309" spans="4:4" x14ac:dyDescent="0.45">
      <c r="D16309" s="47"/>
    </row>
    <row r="16310" spans="4:4" x14ac:dyDescent="0.45">
      <c r="D16310" s="47"/>
    </row>
    <row r="16311" spans="4:4" x14ac:dyDescent="0.45">
      <c r="D16311" s="47"/>
    </row>
    <row r="16312" spans="4:4" x14ac:dyDescent="0.45">
      <c r="D16312" s="47"/>
    </row>
    <row r="16313" spans="4:4" x14ac:dyDescent="0.45">
      <c r="D16313" s="47"/>
    </row>
    <row r="16314" spans="4:4" x14ac:dyDescent="0.45">
      <c r="D16314" s="47"/>
    </row>
    <row r="16315" spans="4:4" x14ac:dyDescent="0.45">
      <c r="D16315" s="47"/>
    </row>
    <row r="16316" spans="4:4" x14ac:dyDescent="0.45">
      <c r="D16316" s="47"/>
    </row>
    <row r="16317" spans="4:4" x14ac:dyDescent="0.45">
      <c r="D16317" s="47"/>
    </row>
    <row r="16318" spans="4:4" x14ac:dyDescent="0.45">
      <c r="D16318" s="47"/>
    </row>
    <row r="16319" spans="4:4" x14ac:dyDescent="0.45">
      <c r="D16319" s="47"/>
    </row>
    <row r="16320" spans="4:4" x14ac:dyDescent="0.45">
      <c r="D16320" s="47"/>
    </row>
    <row r="16321" spans="4:4" x14ac:dyDescent="0.45">
      <c r="D16321" s="47"/>
    </row>
    <row r="16322" spans="4:4" x14ac:dyDescent="0.45">
      <c r="D16322" s="47"/>
    </row>
    <row r="16323" spans="4:4" x14ac:dyDescent="0.45">
      <c r="D16323" s="47"/>
    </row>
    <row r="16324" spans="4:4" x14ac:dyDescent="0.45">
      <c r="D16324" s="47"/>
    </row>
    <row r="16325" spans="4:4" x14ac:dyDescent="0.45">
      <c r="D16325" s="47"/>
    </row>
    <row r="16326" spans="4:4" x14ac:dyDescent="0.45">
      <c r="D16326" s="47"/>
    </row>
    <row r="16327" spans="4:4" x14ac:dyDescent="0.45">
      <c r="D16327" s="47"/>
    </row>
    <row r="16328" spans="4:4" x14ac:dyDescent="0.45">
      <c r="D16328" s="47"/>
    </row>
    <row r="16329" spans="4:4" x14ac:dyDescent="0.45">
      <c r="D16329" s="47"/>
    </row>
    <row r="16330" spans="4:4" x14ac:dyDescent="0.45">
      <c r="D16330" s="47"/>
    </row>
    <row r="16331" spans="4:4" x14ac:dyDescent="0.45">
      <c r="D16331" s="47"/>
    </row>
    <row r="16332" spans="4:4" x14ac:dyDescent="0.45">
      <c r="D16332" s="47"/>
    </row>
    <row r="16333" spans="4:4" x14ac:dyDescent="0.45">
      <c r="D16333" s="47"/>
    </row>
    <row r="16334" spans="4:4" x14ac:dyDescent="0.45">
      <c r="D16334" s="47"/>
    </row>
    <row r="16335" spans="4:4" x14ac:dyDescent="0.45">
      <c r="D16335" s="47"/>
    </row>
    <row r="16336" spans="4:4" x14ac:dyDescent="0.45">
      <c r="D16336" s="47"/>
    </row>
    <row r="16337" spans="4:4" x14ac:dyDescent="0.45">
      <c r="D16337" s="47"/>
    </row>
    <row r="16338" spans="4:4" x14ac:dyDescent="0.45">
      <c r="D16338" s="47"/>
    </row>
    <row r="16339" spans="4:4" x14ac:dyDescent="0.45">
      <c r="D16339" s="47"/>
    </row>
    <row r="16340" spans="4:4" x14ac:dyDescent="0.45">
      <c r="D16340" s="47"/>
    </row>
    <row r="16341" spans="4:4" x14ac:dyDescent="0.45">
      <c r="D16341" s="47"/>
    </row>
    <row r="16342" spans="4:4" x14ac:dyDescent="0.45">
      <c r="D16342" s="47"/>
    </row>
    <row r="16343" spans="4:4" x14ac:dyDescent="0.45">
      <c r="D16343" s="47"/>
    </row>
    <row r="16344" spans="4:4" x14ac:dyDescent="0.45">
      <c r="D16344" s="47"/>
    </row>
    <row r="16345" spans="4:4" x14ac:dyDescent="0.45">
      <c r="D16345" s="47"/>
    </row>
    <row r="16346" spans="4:4" x14ac:dyDescent="0.45">
      <c r="D16346" s="47"/>
    </row>
    <row r="16347" spans="4:4" x14ac:dyDescent="0.45">
      <c r="D16347" s="47"/>
    </row>
    <row r="16348" spans="4:4" x14ac:dyDescent="0.45">
      <c r="D16348" s="47"/>
    </row>
    <row r="16349" spans="4:4" x14ac:dyDescent="0.45">
      <c r="D16349" s="47"/>
    </row>
    <row r="16350" spans="4:4" x14ac:dyDescent="0.45">
      <c r="D16350" s="47"/>
    </row>
    <row r="16351" spans="4:4" x14ac:dyDescent="0.45">
      <c r="D16351" s="47"/>
    </row>
    <row r="16352" spans="4:4" x14ac:dyDescent="0.45">
      <c r="D16352" s="47"/>
    </row>
    <row r="16353" spans="4:4" x14ac:dyDescent="0.45">
      <c r="D16353" s="47"/>
    </row>
    <row r="16354" spans="4:4" x14ac:dyDescent="0.45">
      <c r="D16354" s="47"/>
    </row>
    <row r="16355" spans="4:4" x14ac:dyDescent="0.45">
      <c r="D16355" s="47"/>
    </row>
    <row r="16356" spans="4:4" x14ac:dyDescent="0.45">
      <c r="D16356" s="47"/>
    </row>
    <row r="16357" spans="4:4" x14ac:dyDescent="0.45">
      <c r="D16357" s="47"/>
    </row>
    <row r="16358" spans="4:4" x14ac:dyDescent="0.45">
      <c r="D16358" s="47"/>
    </row>
    <row r="16359" spans="4:4" x14ac:dyDescent="0.45">
      <c r="D16359" s="47"/>
    </row>
    <row r="16360" spans="4:4" x14ac:dyDescent="0.45">
      <c r="D16360" s="47"/>
    </row>
    <row r="16361" spans="4:4" x14ac:dyDescent="0.45">
      <c r="D16361" s="47"/>
    </row>
    <row r="16362" spans="4:4" x14ac:dyDescent="0.45">
      <c r="D16362" s="47"/>
    </row>
    <row r="16363" spans="4:4" x14ac:dyDescent="0.45">
      <c r="D16363" s="47"/>
    </row>
    <row r="16364" spans="4:4" x14ac:dyDescent="0.45">
      <c r="D16364" s="47"/>
    </row>
    <row r="16365" spans="4:4" x14ac:dyDescent="0.45">
      <c r="D16365" s="47"/>
    </row>
    <row r="16366" spans="4:4" x14ac:dyDescent="0.45">
      <c r="D16366" s="47"/>
    </row>
    <row r="16367" spans="4:4" x14ac:dyDescent="0.45">
      <c r="D16367" s="47"/>
    </row>
    <row r="16368" spans="4:4" x14ac:dyDescent="0.45">
      <c r="D16368" s="47"/>
    </row>
    <row r="16369" spans="4:4" x14ac:dyDescent="0.45">
      <c r="D16369" s="47"/>
    </row>
    <row r="16370" spans="4:4" x14ac:dyDescent="0.45">
      <c r="D16370" s="47"/>
    </row>
    <row r="16371" spans="4:4" x14ac:dyDescent="0.45">
      <c r="D16371" s="47"/>
    </row>
    <row r="16372" spans="4:4" x14ac:dyDescent="0.45">
      <c r="D16372" s="47"/>
    </row>
    <row r="16373" spans="4:4" x14ac:dyDescent="0.45">
      <c r="D16373" s="47"/>
    </row>
    <row r="16374" spans="4:4" x14ac:dyDescent="0.45">
      <c r="D16374" s="47"/>
    </row>
    <row r="16375" spans="4:4" x14ac:dyDescent="0.45">
      <c r="D16375" s="47"/>
    </row>
    <row r="16376" spans="4:4" x14ac:dyDescent="0.45">
      <c r="D16376" s="47"/>
    </row>
    <row r="16377" spans="4:4" x14ac:dyDescent="0.45">
      <c r="D16377" s="47"/>
    </row>
    <row r="16378" spans="4:4" x14ac:dyDescent="0.45">
      <c r="D16378" s="47"/>
    </row>
    <row r="16379" spans="4:4" x14ac:dyDescent="0.45">
      <c r="D16379" s="47"/>
    </row>
    <row r="16380" spans="4:4" x14ac:dyDescent="0.45">
      <c r="D16380" s="47"/>
    </row>
    <row r="16381" spans="4:4" x14ac:dyDescent="0.45">
      <c r="D16381" s="47"/>
    </row>
    <row r="16382" spans="4:4" x14ac:dyDescent="0.45">
      <c r="D16382" s="47"/>
    </row>
    <row r="16383" spans="4:4" x14ac:dyDescent="0.45">
      <c r="D16383" s="47"/>
    </row>
    <row r="16384" spans="4:4" x14ac:dyDescent="0.45">
      <c r="D16384" s="47"/>
    </row>
    <row r="16385" spans="4:4" x14ac:dyDescent="0.45">
      <c r="D16385" s="47"/>
    </row>
    <row r="16386" spans="4:4" x14ac:dyDescent="0.45">
      <c r="D16386" s="47"/>
    </row>
    <row r="16387" spans="4:4" x14ac:dyDescent="0.45">
      <c r="D16387" s="47"/>
    </row>
    <row r="16388" spans="4:4" x14ac:dyDescent="0.45">
      <c r="D16388" s="47"/>
    </row>
    <row r="16389" spans="4:4" x14ac:dyDescent="0.45">
      <c r="D16389" s="47"/>
    </row>
    <row r="16390" spans="4:4" x14ac:dyDescent="0.45">
      <c r="D16390" s="47"/>
    </row>
    <row r="16391" spans="4:4" x14ac:dyDescent="0.45">
      <c r="D16391" s="47"/>
    </row>
    <row r="16392" spans="4:4" x14ac:dyDescent="0.45">
      <c r="D16392" s="47"/>
    </row>
  </sheetData>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Q33"/>
  <sheetViews>
    <sheetView tabSelected="1" topLeftCell="A19" workbookViewId="0">
      <selection activeCell="N33" sqref="N33"/>
    </sheetView>
  </sheetViews>
  <sheetFormatPr defaultRowHeight="14.25" x14ac:dyDescent="0.45"/>
  <cols>
    <col min="1" max="1" width="8.1328125" bestFit="1" customWidth="1"/>
    <col min="2" max="2" width="10.59765625" bestFit="1" customWidth="1"/>
    <col min="3" max="3" width="11.59765625" bestFit="1" customWidth="1"/>
    <col min="4" max="4" width="20.265625" bestFit="1" customWidth="1"/>
    <col min="5" max="5" width="12.59765625" bestFit="1" customWidth="1"/>
    <col min="6" max="6" width="12.59765625" customWidth="1"/>
    <col min="7" max="7" width="20.59765625" bestFit="1" customWidth="1"/>
    <col min="8" max="8" width="11.59765625" bestFit="1" customWidth="1"/>
    <col min="9" max="10" width="10.59765625" bestFit="1" customWidth="1"/>
  </cols>
  <sheetData>
    <row r="1" spans="1:17" x14ac:dyDescent="0.45">
      <c r="A1" t="s">
        <v>2</v>
      </c>
      <c r="B1" t="s">
        <v>34</v>
      </c>
      <c r="C1" t="s">
        <v>321</v>
      </c>
      <c r="D1" t="s">
        <v>323</v>
      </c>
      <c r="E1" t="s">
        <v>322</v>
      </c>
      <c r="F1" t="s">
        <v>324</v>
      </c>
      <c r="G1" t="s">
        <v>325</v>
      </c>
      <c r="H1" t="s">
        <v>4</v>
      </c>
      <c r="I1" t="s">
        <v>166</v>
      </c>
      <c r="J1" t="s">
        <v>167</v>
      </c>
      <c r="K1" t="s">
        <v>218</v>
      </c>
      <c r="L1" t="s">
        <v>219</v>
      </c>
      <c r="M1" t="s">
        <v>220</v>
      </c>
      <c r="N1" t="s">
        <v>221</v>
      </c>
      <c r="O1" t="s">
        <v>222</v>
      </c>
      <c r="Q1" t="s">
        <v>183</v>
      </c>
    </row>
    <row r="2" spans="1:17" x14ac:dyDescent="0.45">
      <c r="A2">
        <v>1988</v>
      </c>
      <c r="B2" s="2">
        <v>258.37672468052494</v>
      </c>
      <c r="C2" s="2">
        <v>17.291</v>
      </c>
      <c r="D2" s="2">
        <f>C2*0.739</f>
        <v>12.778048999999999</v>
      </c>
      <c r="E2" s="2">
        <v>16046.829</v>
      </c>
      <c r="F2" s="2">
        <f>D2+E2/10^3</f>
        <v>28.824877999999998</v>
      </c>
      <c r="G2" s="2">
        <f>B2/F2</f>
        <v>8.9636710580535652</v>
      </c>
      <c r="H2" s="2">
        <v>28.986753645435826</v>
      </c>
      <c r="I2" s="2"/>
      <c r="J2" s="2"/>
      <c r="K2" s="2">
        <v>15.03098</v>
      </c>
      <c r="L2" s="2">
        <f>100*(H2-G2)/G2</f>
        <v>223.38038129357923</v>
      </c>
      <c r="M2" s="2"/>
      <c r="N2" s="2"/>
      <c r="O2" s="2">
        <f>100*(K2-G2)/G2</f>
        <v>67.687768801992746</v>
      </c>
      <c r="P2" s="2"/>
      <c r="Q2" t="s">
        <v>327</v>
      </c>
    </row>
    <row r="3" spans="1:17" x14ac:dyDescent="0.45">
      <c r="A3">
        <v>1989</v>
      </c>
      <c r="B3" s="2">
        <v>271.12636196825764</v>
      </c>
      <c r="C3" s="2">
        <v>18.432000000000002</v>
      </c>
      <c r="D3" s="2">
        <f t="shared" ref="D3:D30" si="0">C3*0.739</f>
        <v>13.621248000000001</v>
      </c>
      <c r="E3" s="2">
        <v>16657.276000000002</v>
      </c>
      <c r="F3" s="2">
        <f t="shared" ref="F3:F30" si="1">D3+E3/10^3</f>
        <v>30.278524000000004</v>
      </c>
      <c r="G3" s="2">
        <f t="shared" ref="G3:G30" si="2">B3/F3</f>
        <v>8.9544114491267006</v>
      </c>
      <c r="H3" s="2"/>
      <c r="I3" s="2"/>
      <c r="J3" s="2"/>
      <c r="K3" s="2">
        <v>16.988309999999998</v>
      </c>
      <c r="L3" s="2"/>
      <c r="M3" s="2"/>
      <c r="N3" s="2"/>
      <c r="O3" s="2">
        <f t="shared" ref="O3:O28" si="3">100*(K3-G3)/G3</f>
        <v>89.72000668627777</v>
      </c>
      <c r="P3" s="2"/>
      <c r="Q3" t="s">
        <v>170</v>
      </c>
    </row>
    <row r="4" spans="1:17" x14ac:dyDescent="0.45">
      <c r="A4">
        <v>1990</v>
      </c>
      <c r="B4" s="2">
        <v>286.70863901331933</v>
      </c>
      <c r="C4" s="2">
        <v>17.094999999999999</v>
      </c>
      <c r="D4" s="2">
        <f t="shared" si="0"/>
        <v>12.633204999999998</v>
      </c>
      <c r="E4" s="2">
        <v>17103.891</v>
      </c>
      <c r="F4" s="2">
        <f t="shared" si="1"/>
        <v>29.737096000000001</v>
      </c>
      <c r="G4" s="2">
        <f t="shared" si="2"/>
        <v>9.6414471343576835</v>
      </c>
      <c r="H4" s="2"/>
      <c r="I4" s="2"/>
      <c r="J4" s="2"/>
      <c r="K4" s="2">
        <v>16.703800000000001</v>
      </c>
      <c r="L4" s="2"/>
      <c r="M4" s="2"/>
      <c r="N4" s="2"/>
      <c r="O4" s="2">
        <f t="shared" si="3"/>
        <v>73.249925734440211</v>
      </c>
      <c r="P4" s="2"/>
      <c r="Q4" t="s">
        <v>171</v>
      </c>
    </row>
    <row r="5" spans="1:17" x14ac:dyDescent="0.45">
      <c r="A5">
        <v>1991</v>
      </c>
      <c r="B5" s="2">
        <v>288.44597377512912</v>
      </c>
      <c r="C5" s="2">
        <v>15.802</v>
      </c>
      <c r="D5" s="2">
        <f t="shared" si="0"/>
        <v>11.677678</v>
      </c>
      <c r="E5" s="2">
        <v>17471.631000000001</v>
      </c>
      <c r="F5" s="2">
        <f t="shared" si="1"/>
        <v>29.149309000000002</v>
      </c>
      <c r="G5" s="2">
        <f t="shared" si="2"/>
        <v>9.8954652329881672</v>
      </c>
      <c r="H5" s="2">
        <v>34.805959034931178</v>
      </c>
      <c r="I5" s="2"/>
      <c r="J5" s="2"/>
      <c r="K5" s="2">
        <v>17.703530000000001</v>
      </c>
      <c r="L5" s="2">
        <f>100*(H5-G5)/G5</f>
        <v>251.73645923083805</v>
      </c>
      <c r="M5" s="2"/>
      <c r="N5" s="2"/>
      <c r="O5" s="2">
        <f t="shared" si="3"/>
        <v>78.90548431196909</v>
      </c>
      <c r="P5" s="2"/>
    </row>
    <row r="6" spans="1:17" x14ac:dyDescent="0.45">
      <c r="A6">
        <v>1992</v>
      </c>
      <c r="B6" s="2">
        <v>304.29750638911003</v>
      </c>
      <c r="C6" s="2">
        <v>15.734999999999999</v>
      </c>
      <c r="D6" s="2">
        <f t="shared" si="0"/>
        <v>11.628164999999999</v>
      </c>
      <c r="E6" s="2">
        <v>17783.636999999999</v>
      </c>
      <c r="F6" s="2">
        <f t="shared" si="1"/>
        <v>29.411801999999998</v>
      </c>
      <c r="G6" s="2">
        <f t="shared" si="2"/>
        <v>10.346102098372281</v>
      </c>
      <c r="H6" s="2"/>
      <c r="I6" s="2"/>
      <c r="J6" s="2"/>
      <c r="K6" s="2">
        <v>17.264600000000002</v>
      </c>
      <c r="L6" s="2"/>
      <c r="M6" s="2"/>
      <c r="N6" s="2"/>
      <c r="O6" s="2">
        <f t="shared" si="3"/>
        <v>66.870574404211467</v>
      </c>
      <c r="P6" s="2"/>
    </row>
    <row r="7" spans="1:17" x14ac:dyDescent="0.45">
      <c r="A7">
        <v>1993</v>
      </c>
      <c r="B7" s="2">
        <v>323.81879780025446</v>
      </c>
      <c r="C7" s="2">
        <v>15.626000000000001</v>
      </c>
      <c r="D7" s="2">
        <f t="shared" si="0"/>
        <v>11.547614000000001</v>
      </c>
      <c r="E7" s="2">
        <v>18120.526000000002</v>
      </c>
      <c r="F7" s="2">
        <f t="shared" si="1"/>
        <v>29.668140000000001</v>
      </c>
      <c r="G7" s="2">
        <f t="shared" si="2"/>
        <v>10.914698319485295</v>
      </c>
      <c r="H7" s="2"/>
      <c r="I7" s="2"/>
      <c r="J7" s="2"/>
      <c r="K7" s="2">
        <v>16.704440000000002</v>
      </c>
      <c r="L7" s="2"/>
      <c r="M7" s="2"/>
      <c r="N7" s="2"/>
      <c r="O7" s="2">
        <f t="shared" si="3"/>
        <v>53.04536608381251</v>
      </c>
      <c r="P7" s="2"/>
    </row>
    <row r="8" spans="1:17" x14ac:dyDescent="0.45">
      <c r="A8">
        <v>1994</v>
      </c>
      <c r="B8" s="2">
        <v>350.59692973647617</v>
      </c>
      <c r="C8" s="2">
        <v>14.99</v>
      </c>
      <c r="D8" s="2">
        <f t="shared" si="0"/>
        <v>11.07761</v>
      </c>
      <c r="E8" s="2">
        <v>18396.195</v>
      </c>
      <c r="F8" s="2">
        <f t="shared" si="1"/>
        <v>29.473804999999999</v>
      </c>
      <c r="G8" s="2">
        <f t="shared" si="2"/>
        <v>11.895204224105989</v>
      </c>
      <c r="H8" s="2">
        <v>69.066727121589949</v>
      </c>
      <c r="I8" s="2">
        <v>14.906539431334393</v>
      </c>
      <c r="J8" s="2"/>
      <c r="K8" s="2">
        <v>15.86314</v>
      </c>
      <c r="L8" s="2">
        <f>100*(H8-G8)/G8</f>
        <v>480.62666113478031</v>
      </c>
      <c r="M8" s="2">
        <f>100*(I8-G8)/G8</f>
        <v>25.315540200023154</v>
      </c>
      <c r="N8" s="2"/>
      <c r="O8" s="2">
        <f t="shared" si="3"/>
        <v>33.357441378373899</v>
      </c>
      <c r="P8" s="2"/>
    </row>
    <row r="9" spans="1:17" x14ac:dyDescent="0.45">
      <c r="A9">
        <v>1995</v>
      </c>
      <c r="B9" s="2">
        <v>371.34525230425987</v>
      </c>
      <c r="C9" s="2">
        <v>15.605999999999998</v>
      </c>
      <c r="D9" s="2">
        <f t="shared" si="0"/>
        <v>11.532833999999998</v>
      </c>
      <c r="E9" s="2">
        <v>18643.115000000002</v>
      </c>
      <c r="F9" s="2">
        <f t="shared" si="1"/>
        <v>30.175948999999999</v>
      </c>
      <c r="G9" s="2">
        <f t="shared" si="2"/>
        <v>12.306000792361489</v>
      </c>
      <c r="H9" s="2"/>
      <c r="I9" s="2">
        <v>15.650690096079558</v>
      </c>
      <c r="J9" s="2"/>
      <c r="K9" s="2">
        <v>15.94801</v>
      </c>
      <c r="L9" s="2"/>
      <c r="M9" s="2">
        <f>100*(I9-G9)/G9</f>
        <v>27.179336001620971</v>
      </c>
      <c r="N9" s="2"/>
      <c r="O9" s="2">
        <f t="shared" si="3"/>
        <v>29.595392273167718</v>
      </c>
      <c r="P9" s="2"/>
    </row>
    <row r="10" spans="1:17" x14ac:dyDescent="0.45">
      <c r="A10" s="30">
        <v>1996</v>
      </c>
      <c r="B10" s="2">
        <v>396.35436613120339</v>
      </c>
      <c r="C10" s="2">
        <v>15.626000000000001</v>
      </c>
      <c r="D10" s="2">
        <f t="shared" si="0"/>
        <v>11.547614000000001</v>
      </c>
      <c r="E10" s="2">
        <v>19143.047999999999</v>
      </c>
      <c r="F10" s="2">
        <f t="shared" si="1"/>
        <v>30.690662000000003</v>
      </c>
      <c r="G10" s="2">
        <f t="shared" si="2"/>
        <v>12.914493865632593</v>
      </c>
      <c r="H10" s="2"/>
      <c r="I10" s="2">
        <v>15.656619963820228</v>
      </c>
      <c r="J10" s="2"/>
      <c r="K10" s="2">
        <v>18.855499999999999</v>
      </c>
      <c r="L10" s="2"/>
      <c r="M10" s="2">
        <f>100*(I10-G10)/G10</f>
        <v>21.232935078352888</v>
      </c>
      <c r="N10" s="2"/>
      <c r="O10" s="2">
        <f t="shared" si="3"/>
        <v>46.002624618354687</v>
      </c>
      <c r="P10" s="2"/>
    </row>
    <row r="11" spans="1:17" x14ac:dyDescent="0.45">
      <c r="A11" s="30">
        <v>1997</v>
      </c>
      <c r="B11" s="2">
        <v>424.03079854076998</v>
      </c>
      <c r="C11" s="2">
        <v>16.105</v>
      </c>
      <c r="D11" s="2">
        <f t="shared" si="0"/>
        <v>11.901595</v>
      </c>
      <c r="E11" s="2">
        <v>19337.440999999999</v>
      </c>
      <c r="F11" s="2">
        <f t="shared" si="1"/>
        <v>31.239035999999999</v>
      </c>
      <c r="G11" s="2">
        <f t="shared" si="2"/>
        <v>13.573747875599299</v>
      </c>
      <c r="H11" s="2">
        <v>49.623400495484468</v>
      </c>
      <c r="I11" s="2"/>
      <c r="J11" s="2"/>
      <c r="K11" s="2">
        <v>24.9147</v>
      </c>
      <c r="L11" s="2">
        <f>100*(H11-G11)/G11</f>
        <v>265.58363209831998</v>
      </c>
      <c r="M11" s="2"/>
      <c r="N11" s="2"/>
      <c r="O11" s="2">
        <f t="shared" si="3"/>
        <v>83.550631913442572</v>
      </c>
      <c r="P11" s="2"/>
    </row>
    <row r="12" spans="1:17" x14ac:dyDescent="0.45">
      <c r="A12" s="30">
        <v>1998</v>
      </c>
      <c r="B12" s="2">
        <v>460.38171716770722</v>
      </c>
      <c r="C12" s="2">
        <v>15.036000000000001</v>
      </c>
      <c r="D12" s="2">
        <f t="shared" si="0"/>
        <v>11.111604000000002</v>
      </c>
      <c r="E12" s="2">
        <v>19500.653999999999</v>
      </c>
      <c r="F12" s="2">
        <f t="shared" si="1"/>
        <v>30.612257999999997</v>
      </c>
      <c r="G12" s="2">
        <f t="shared" si="2"/>
        <v>15.039129657397611</v>
      </c>
      <c r="H12" s="2"/>
      <c r="I12" s="2">
        <v>19.836596499725019</v>
      </c>
      <c r="J12" s="2"/>
      <c r="K12" s="2">
        <v>24.667729999999999</v>
      </c>
      <c r="L12" s="2"/>
      <c r="M12" s="2">
        <f>100*(I12-G12)/G12</f>
        <v>31.899896813294497</v>
      </c>
      <c r="N12" s="2"/>
      <c r="O12" s="2">
        <f t="shared" si="3"/>
        <v>64.023654040818556</v>
      </c>
      <c r="P12" s="2"/>
    </row>
    <row r="13" spans="1:17" x14ac:dyDescent="0.45">
      <c r="A13" s="30">
        <v>1999</v>
      </c>
      <c r="B13" s="2">
        <v>489.87463147718154</v>
      </c>
      <c r="C13" s="2">
        <v>14.907</v>
      </c>
      <c r="D13" s="2">
        <f t="shared" si="0"/>
        <v>11.016273</v>
      </c>
      <c r="E13" s="2">
        <v>19621.951000000001</v>
      </c>
      <c r="F13" s="2">
        <f t="shared" si="1"/>
        <v>30.638224000000001</v>
      </c>
      <c r="G13" s="2">
        <f t="shared" si="2"/>
        <v>15.989002217530022</v>
      </c>
      <c r="H13" s="2"/>
      <c r="I13" s="2"/>
      <c r="J13" s="2"/>
      <c r="K13" s="2">
        <v>25.140039999999999</v>
      </c>
      <c r="L13" s="2"/>
      <c r="M13" s="2"/>
      <c r="N13" s="2"/>
      <c r="O13" s="2">
        <f t="shared" si="3"/>
        <v>57.233326119856081</v>
      </c>
      <c r="P13" s="2"/>
    </row>
    <row r="14" spans="1:17" x14ac:dyDescent="0.45">
      <c r="A14" s="30">
        <v>2000</v>
      </c>
      <c r="B14" s="2">
        <v>518.07025109398103</v>
      </c>
      <c r="C14" s="2">
        <v>13.087</v>
      </c>
      <c r="D14" s="2">
        <f t="shared" si="0"/>
        <v>9.6712930000000004</v>
      </c>
      <c r="E14" s="2">
        <v>19966.514999999999</v>
      </c>
      <c r="F14" s="2">
        <f t="shared" si="1"/>
        <v>29.637808</v>
      </c>
      <c r="G14" s="2">
        <f t="shared" si="2"/>
        <v>17.480046132088482</v>
      </c>
      <c r="H14" s="2">
        <v>67.81684987351872</v>
      </c>
      <c r="I14" s="2">
        <v>24.579827471268494</v>
      </c>
      <c r="J14" s="2"/>
      <c r="K14" s="2">
        <v>28.85202</v>
      </c>
      <c r="L14" s="2">
        <f>100*(H14-G14)/G14</f>
        <v>287.96722480626596</v>
      </c>
      <c r="M14" s="2">
        <f>100*(I14-G14)/G14</f>
        <v>40.616490857806134</v>
      </c>
      <c r="N14" s="2"/>
      <c r="O14" s="2">
        <f t="shared" si="3"/>
        <v>65.056887046972662</v>
      </c>
      <c r="P14" s="2"/>
    </row>
    <row r="15" spans="1:17" x14ac:dyDescent="0.45">
      <c r="A15" s="30">
        <v>2001</v>
      </c>
      <c r="B15" s="2">
        <v>534.31022458276777</v>
      </c>
      <c r="C15" s="2">
        <v>13.858000000000001</v>
      </c>
      <c r="D15" s="2">
        <f t="shared" si="0"/>
        <v>10.241061999999999</v>
      </c>
      <c r="E15" s="2">
        <v>20345.061000000002</v>
      </c>
      <c r="F15" s="2">
        <f t="shared" si="1"/>
        <v>30.586123000000001</v>
      </c>
      <c r="G15" s="2">
        <f t="shared" si="2"/>
        <v>17.469040603242451</v>
      </c>
      <c r="H15" s="2"/>
      <c r="I15" s="2"/>
      <c r="J15" s="2"/>
      <c r="K15" s="2">
        <v>25.931149999999999</v>
      </c>
      <c r="L15" s="2"/>
      <c r="M15" s="2"/>
      <c r="N15" s="2"/>
      <c r="O15" s="2">
        <f t="shared" si="3"/>
        <v>48.440607523614574</v>
      </c>
      <c r="P15" s="2"/>
    </row>
    <row r="16" spans="1:17" x14ac:dyDescent="0.45">
      <c r="A16" s="30">
        <v>2002</v>
      </c>
      <c r="B16" s="2">
        <v>559.59758655223743</v>
      </c>
      <c r="C16" s="2">
        <v>13.959999999999999</v>
      </c>
      <c r="D16" s="2">
        <f t="shared" si="0"/>
        <v>10.31644</v>
      </c>
      <c r="E16" s="2">
        <v>20920.589</v>
      </c>
      <c r="F16" s="2">
        <f t="shared" si="1"/>
        <v>31.237029</v>
      </c>
      <c r="G16" s="2">
        <f t="shared" si="2"/>
        <v>17.914558601339373</v>
      </c>
      <c r="H16" s="2"/>
      <c r="I16" s="2">
        <v>32.914466772791634</v>
      </c>
      <c r="J16" s="2"/>
      <c r="K16" s="2">
        <v>26.66807</v>
      </c>
      <c r="L16" s="2"/>
      <c r="M16" s="2">
        <f>100*(I16-G16)/G16</f>
        <v>83.730269359418102</v>
      </c>
      <c r="N16" s="2"/>
      <c r="O16" s="2">
        <f t="shared" si="3"/>
        <v>48.862556948548963</v>
      </c>
      <c r="P16" s="2"/>
    </row>
    <row r="17" spans="1:16" x14ac:dyDescent="0.45">
      <c r="A17" s="30">
        <v>2003</v>
      </c>
      <c r="B17" s="2">
        <v>581.28852168213325</v>
      </c>
      <c r="C17" s="2">
        <v>13.739000000000001</v>
      </c>
      <c r="D17" s="2">
        <f t="shared" si="0"/>
        <v>10.153121000000001</v>
      </c>
      <c r="E17" s="2">
        <v>21707.195</v>
      </c>
      <c r="F17" s="2">
        <f t="shared" si="1"/>
        <v>31.860315999999997</v>
      </c>
      <c r="G17" s="2">
        <f t="shared" si="2"/>
        <v>18.244907604875397</v>
      </c>
      <c r="H17" s="2">
        <v>65.100182630525268</v>
      </c>
      <c r="I17" s="2"/>
      <c r="J17" s="2"/>
      <c r="K17" s="2">
        <v>27.57075</v>
      </c>
      <c r="L17" s="2">
        <f>100*(H17-G17)/G17</f>
        <v>256.81289289253084</v>
      </c>
      <c r="M17" s="2"/>
      <c r="N17" s="2"/>
      <c r="O17" s="2">
        <f t="shared" si="3"/>
        <v>51.114769102105811</v>
      </c>
      <c r="P17" s="2"/>
    </row>
    <row r="18" spans="1:16" x14ac:dyDescent="0.45">
      <c r="A18" s="30">
        <v>2004</v>
      </c>
      <c r="B18" s="2">
        <v>615.37024993949217</v>
      </c>
      <c r="C18" s="2">
        <v>15.089</v>
      </c>
      <c r="D18" s="2">
        <f t="shared" si="0"/>
        <v>11.150771000000001</v>
      </c>
      <c r="E18" s="2">
        <v>22571.940999999999</v>
      </c>
      <c r="F18" s="2">
        <f t="shared" si="1"/>
        <v>33.722712000000001</v>
      </c>
      <c r="G18" s="2">
        <f t="shared" si="2"/>
        <v>18.247946663942454</v>
      </c>
      <c r="H18" s="2"/>
      <c r="I18" s="2">
        <v>55.907774870099281</v>
      </c>
      <c r="J18" s="2">
        <v>17.272962957451295</v>
      </c>
      <c r="K18" s="2">
        <v>25.626729999999998</v>
      </c>
      <c r="L18" s="2"/>
      <c r="M18" s="2">
        <f>100*(I18-G18)/G18</f>
        <v>206.378443008998</v>
      </c>
      <c r="N18" s="2">
        <f>100*(J18-G18)/G18</f>
        <v>-5.3429776206969386</v>
      </c>
      <c r="O18" s="2">
        <f t="shared" si="3"/>
        <v>40.436239057174916</v>
      </c>
      <c r="P18" s="2"/>
    </row>
    <row r="19" spans="1:16" x14ac:dyDescent="0.45">
      <c r="A19" s="30">
        <v>2005</v>
      </c>
      <c r="B19" s="2">
        <v>655.44315249164924</v>
      </c>
      <c r="C19" s="2">
        <v>15.726000000000001</v>
      </c>
      <c r="D19" s="2">
        <f t="shared" si="0"/>
        <v>11.621514000000001</v>
      </c>
      <c r="E19" s="2">
        <v>23472.465</v>
      </c>
      <c r="F19" s="2">
        <f t="shared" si="1"/>
        <v>35.093979000000004</v>
      </c>
      <c r="G19" s="2">
        <f t="shared" si="2"/>
        <v>18.676797877255503</v>
      </c>
      <c r="H19" s="2"/>
      <c r="I19" s="2"/>
      <c r="J19" s="2">
        <v>17.181422868289467</v>
      </c>
      <c r="K19" s="2">
        <v>31.182770000000001</v>
      </c>
      <c r="L19" s="2"/>
      <c r="M19" s="2"/>
      <c r="N19" s="2">
        <f t="shared" ref="N19:N20" si="4">100*(J19-G19)/G19</f>
        <v>-8.00659202286006</v>
      </c>
      <c r="O19" s="2">
        <f t="shared" si="3"/>
        <v>66.959937163394585</v>
      </c>
      <c r="P19" s="2"/>
    </row>
    <row r="20" spans="1:16" x14ac:dyDescent="0.45">
      <c r="A20" s="30">
        <v>2006</v>
      </c>
      <c r="B20" s="2">
        <v>709.27004186784563</v>
      </c>
      <c r="C20" s="2">
        <v>16.254999999999999</v>
      </c>
      <c r="D20" s="2">
        <f t="shared" si="0"/>
        <v>12.012445</v>
      </c>
      <c r="E20" s="2">
        <v>24033.225999999999</v>
      </c>
      <c r="F20" s="2">
        <f t="shared" si="1"/>
        <v>36.045670999999999</v>
      </c>
      <c r="G20" s="2">
        <f t="shared" si="2"/>
        <v>19.676982622069808</v>
      </c>
      <c r="H20" s="2">
        <v>107.10535451330993</v>
      </c>
      <c r="I20" s="2">
        <v>34.151720236349156</v>
      </c>
      <c r="J20" s="2">
        <v>17.034962628341901</v>
      </c>
      <c r="K20" s="2">
        <v>33.404890000000002</v>
      </c>
      <c r="L20" s="2">
        <f>100*(H20-G20)/G20</f>
        <v>444.31798091430943</v>
      </c>
      <c r="M20" s="2">
        <f>100*(I20-G20)/G20</f>
        <v>73.561774649556298</v>
      </c>
      <c r="N20" s="2">
        <f t="shared" si="4"/>
        <v>-13.426956990674997</v>
      </c>
      <c r="O20" s="2">
        <f t="shared" si="3"/>
        <v>69.766323636088899</v>
      </c>
      <c r="P20" s="2"/>
    </row>
    <row r="21" spans="1:16" x14ac:dyDescent="0.45">
      <c r="A21" s="30">
        <v>2007</v>
      </c>
      <c r="B21" s="2">
        <v>697.47655257300289</v>
      </c>
      <c r="C21" s="2">
        <v>17.63</v>
      </c>
      <c r="D21" s="2">
        <f t="shared" si="0"/>
        <v>13.028569999999998</v>
      </c>
      <c r="E21" s="2">
        <v>25100.641</v>
      </c>
      <c r="F21" s="2">
        <f t="shared" si="1"/>
        <v>38.129210999999998</v>
      </c>
      <c r="G21" s="2">
        <f t="shared" si="2"/>
        <v>18.292446507036374</v>
      </c>
      <c r="H21" s="2"/>
      <c r="I21" s="2"/>
      <c r="J21" s="2"/>
      <c r="K21" s="2">
        <v>34.34478</v>
      </c>
      <c r="L21" s="2"/>
      <c r="M21" s="2"/>
      <c r="N21" s="2"/>
      <c r="O21" s="2">
        <f t="shared" si="3"/>
        <v>87.753890584230675</v>
      </c>
      <c r="P21" s="2"/>
    </row>
    <row r="22" spans="1:16" x14ac:dyDescent="0.45">
      <c r="A22" s="30">
        <v>2008</v>
      </c>
      <c r="B22" s="2">
        <v>581.70876819445016</v>
      </c>
      <c r="C22" s="2">
        <v>17.740000000000002</v>
      </c>
      <c r="D22" s="2">
        <f t="shared" si="0"/>
        <v>13.109860000000001</v>
      </c>
      <c r="E22" s="2">
        <v>24562.537</v>
      </c>
      <c r="F22" s="2">
        <f t="shared" si="1"/>
        <v>37.672397000000004</v>
      </c>
      <c r="G22" s="2">
        <f t="shared" si="2"/>
        <v>15.441246496591393</v>
      </c>
      <c r="H22" s="2"/>
      <c r="I22" s="2">
        <v>40.186122938282828</v>
      </c>
      <c r="J22" s="2"/>
      <c r="K22" s="2">
        <v>32.27901</v>
      </c>
      <c r="L22" s="2"/>
      <c r="M22" s="2">
        <f>100*(I22-G22)/G22</f>
        <v>160.25180640147016</v>
      </c>
      <c r="N22" s="2"/>
      <c r="O22" s="2">
        <f t="shared" si="3"/>
        <v>109.04406912437729</v>
      </c>
      <c r="P22" s="2"/>
    </row>
    <row r="23" spans="1:16" x14ac:dyDescent="0.45">
      <c r="A23" s="30">
        <v>2009</v>
      </c>
      <c r="B23" s="2">
        <v>581.86778843584273</v>
      </c>
      <c r="C23" s="2">
        <v>18.957000000000001</v>
      </c>
      <c r="D23" s="2">
        <f t="shared" si="0"/>
        <v>14.009223</v>
      </c>
      <c r="E23" s="2">
        <v>24584.19</v>
      </c>
      <c r="F23" s="2">
        <f t="shared" si="1"/>
        <v>38.593412999999998</v>
      </c>
      <c r="G23" s="2">
        <f t="shared" si="2"/>
        <v>15.076867869546618</v>
      </c>
      <c r="H23" s="2">
        <v>60.914786070779591</v>
      </c>
      <c r="I23" s="2"/>
      <c r="J23" s="2">
        <v>13.460639771625603</v>
      </c>
      <c r="K23" s="2">
        <v>29.09592</v>
      </c>
      <c r="L23" s="2">
        <f>100*(H23-G23)/G23</f>
        <v>304.02812174151779</v>
      </c>
      <c r="M23" s="2"/>
      <c r="N23" s="2">
        <f t="shared" ref="N23:N26" si="5">100*(J23-G23)/G23</f>
        <v>-10.71991949458941</v>
      </c>
      <c r="O23" s="2">
        <f t="shared" si="3"/>
        <v>92.983849508757103</v>
      </c>
      <c r="P23" s="2"/>
    </row>
    <row r="24" spans="1:16" x14ac:dyDescent="0.45">
      <c r="A24" s="30">
        <v>2010</v>
      </c>
      <c r="B24" s="2">
        <v>708.96535911561318</v>
      </c>
      <c r="C24" s="2">
        <v>19.981000000000002</v>
      </c>
      <c r="D24" s="2">
        <f t="shared" si="0"/>
        <v>14.765959000000001</v>
      </c>
      <c r="E24" s="2">
        <v>24912.897000000001</v>
      </c>
      <c r="F24" s="2">
        <f t="shared" si="1"/>
        <v>39.678856000000003</v>
      </c>
      <c r="G24" s="2">
        <f t="shared" si="2"/>
        <v>17.867585676250673</v>
      </c>
      <c r="H24" s="2"/>
      <c r="I24" s="2">
        <v>32.316771341507035</v>
      </c>
      <c r="J24" s="2">
        <v>15.092746341569029</v>
      </c>
      <c r="K24" s="2">
        <v>30.4575</v>
      </c>
      <c r="L24" s="2"/>
      <c r="M24" s="2">
        <f>100*(I24-G24)/G24</f>
        <v>80.868148204611671</v>
      </c>
      <c r="N24" s="2">
        <f t="shared" si="5"/>
        <v>-15.530018352562982</v>
      </c>
      <c r="O24" s="2">
        <f t="shared" si="3"/>
        <v>70.462314001850018</v>
      </c>
      <c r="P24" s="2"/>
    </row>
    <row r="25" spans="1:16" x14ac:dyDescent="0.45">
      <c r="A25" s="30">
        <v>2011</v>
      </c>
      <c r="B25" s="2">
        <v>741.7913071187852</v>
      </c>
      <c r="C25" s="2">
        <v>21.244999999999997</v>
      </c>
      <c r="D25" s="2">
        <f t="shared" si="0"/>
        <v>15.700054999999997</v>
      </c>
      <c r="E25" s="2">
        <v>25294.148000000001</v>
      </c>
      <c r="F25" s="2">
        <f t="shared" si="1"/>
        <v>40.994202999999999</v>
      </c>
      <c r="G25" s="2">
        <f t="shared" si="2"/>
        <v>18.095029365951699</v>
      </c>
      <c r="H25" s="2"/>
      <c r="I25" s="2"/>
      <c r="J25" s="2">
        <v>16.888868145283922</v>
      </c>
      <c r="K25" s="2">
        <v>31.012779999999999</v>
      </c>
      <c r="L25" s="2"/>
      <c r="M25" s="2"/>
      <c r="N25" s="2">
        <f t="shared" si="5"/>
        <v>-6.6657046875941326</v>
      </c>
      <c r="O25" s="2">
        <f t="shared" si="3"/>
        <v>71.388392761355973</v>
      </c>
      <c r="P25" s="2"/>
    </row>
    <row r="26" spans="1:16" x14ac:dyDescent="0.45">
      <c r="A26" s="30">
        <v>2012</v>
      </c>
      <c r="B26" s="2">
        <v>812.26490773269938</v>
      </c>
      <c r="C26" s="2">
        <v>22.698</v>
      </c>
      <c r="D26" s="2">
        <f t="shared" si="0"/>
        <v>16.773821999999999</v>
      </c>
      <c r="E26" s="2">
        <v>25389.538</v>
      </c>
      <c r="F26" s="2">
        <f t="shared" si="1"/>
        <v>42.163359999999997</v>
      </c>
      <c r="G26" s="2">
        <f t="shared" si="2"/>
        <v>19.26471011163957</v>
      </c>
      <c r="H26" s="2">
        <v>69.584243867424263</v>
      </c>
      <c r="I26" s="2">
        <v>30.519957056163616</v>
      </c>
      <c r="J26" s="2">
        <v>17.663918262395619</v>
      </c>
      <c r="K26" s="2">
        <v>31.411470000000001</v>
      </c>
      <c r="L26" s="2">
        <f>100*(H26-G26)/G26</f>
        <v>261.20057589333805</v>
      </c>
      <c r="M26" s="2">
        <f>100*(I26-G26)/G26</f>
        <v>58.424169786617888</v>
      </c>
      <c r="N26" s="2">
        <f t="shared" si="5"/>
        <v>-8.3094520497184448</v>
      </c>
      <c r="O26" s="2">
        <f t="shared" si="3"/>
        <v>63.05186954783953</v>
      </c>
      <c r="P26" s="2"/>
    </row>
    <row r="27" spans="1:16" x14ac:dyDescent="0.45">
      <c r="A27" s="30">
        <v>2013</v>
      </c>
      <c r="B27" s="2">
        <v>807.31433117724328</v>
      </c>
      <c r="C27" s="2">
        <v>24.876000000000001</v>
      </c>
      <c r="D27" s="2">
        <f t="shared" si="0"/>
        <v>18.383364</v>
      </c>
      <c r="E27" s="2">
        <v>25887.602999999999</v>
      </c>
      <c r="F27" s="2">
        <f t="shared" si="1"/>
        <v>44.270966999999999</v>
      </c>
      <c r="G27" s="2">
        <f t="shared" si="2"/>
        <v>18.235751009849036</v>
      </c>
      <c r="H27" s="2"/>
      <c r="I27" s="2"/>
      <c r="J27" s="2"/>
      <c r="K27" s="2">
        <v>30.114550000000001</v>
      </c>
      <c r="L27" s="2"/>
      <c r="M27" s="2"/>
      <c r="N27" s="2"/>
      <c r="O27" s="2">
        <f t="shared" si="3"/>
        <v>65.140168802125487</v>
      </c>
      <c r="P27" s="2"/>
    </row>
    <row r="28" spans="1:16" x14ac:dyDescent="0.45">
      <c r="A28" s="30">
        <v>2014</v>
      </c>
      <c r="B28" s="2">
        <v>858.95749422837548</v>
      </c>
      <c r="C28" s="2">
        <v>25.581</v>
      </c>
      <c r="D28" s="2">
        <f t="shared" si="0"/>
        <v>18.904358999999999</v>
      </c>
      <c r="E28" s="2">
        <v>26416.313999999998</v>
      </c>
      <c r="F28" s="2">
        <f t="shared" si="1"/>
        <v>45.320672999999999</v>
      </c>
      <c r="G28" s="2">
        <f t="shared" si="2"/>
        <v>18.952884795606973</v>
      </c>
      <c r="H28" s="2"/>
      <c r="I28" s="2">
        <v>37.854536320248449</v>
      </c>
      <c r="J28" s="2"/>
      <c r="K28" s="2">
        <v>29.42539</v>
      </c>
      <c r="L28" s="2"/>
      <c r="M28" s="2">
        <f>100*(I28-G28)/G28</f>
        <v>99.729680882261405</v>
      </c>
      <c r="N28" s="2"/>
      <c r="O28" s="2">
        <f t="shared" si="3"/>
        <v>55.255468058458376</v>
      </c>
      <c r="P28" s="2"/>
    </row>
    <row r="29" spans="1:16" x14ac:dyDescent="0.45">
      <c r="A29" s="30">
        <v>2015</v>
      </c>
      <c r="B29" s="2">
        <v>859.10480141440235</v>
      </c>
      <c r="C29" s="2">
        <v>25.480999999999998</v>
      </c>
      <c r="D29" s="2">
        <f t="shared" si="0"/>
        <v>18.830458999999998</v>
      </c>
      <c r="E29" s="2">
        <v>27025.871999999999</v>
      </c>
      <c r="F29" s="2">
        <f t="shared" si="1"/>
        <v>45.856330999999997</v>
      </c>
      <c r="G29" s="2">
        <f t="shared" si="2"/>
        <v>18.734704296652133</v>
      </c>
      <c r="H29" s="2">
        <v>103.70740561422416</v>
      </c>
      <c r="I29" s="2"/>
      <c r="J29" s="2"/>
      <c r="K29" s="2">
        <v>35.153970000000001</v>
      </c>
      <c r="L29" s="2">
        <f>100*(H29-G29)/G29</f>
        <v>453.55773954092524</v>
      </c>
      <c r="M29" s="2"/>
      <c r="N29" s="2"/>
      <c r="O29" s="2">
        <f>100*(K29-G29)/G29</f>
        <v>87.640911985368092</v>
      </c>
      <c r="P29" s="2"/>
    </row>
    <row r="30" spans="1:16" x14ac:dyDescent="0.45">
      <c r="A30" s="30">
        <v>2016</v>
      </c>
      <c r="B30" s="2">
        <v>840.33078928484201</v>
      </c>
      <c r="C30" s="2">
        <v>25.779</v>
      </c>
      <c r="D30" s="2">
        <f t="shared" si="0"/>
        <v>19.050681000000001</v>
      </c>
      <c r="E30" s="2">
        <v>27276.896000000001</v>
      </c>
      <c r="F30" s="2">
        <f t="shared" si="1"/>
        <v>46.327577000000005</v>
      </c>
      <c r="G30" s="2">
        <f t="shared" si="2"/>
        <v>18.138889268584929</v>
      </c>
    </row>
    <row r="31" spans="1:16" x14ac:dyDescent="0.45">
      <c r="K31" t="s">
        <v>193</v>
      </c>
      <c r="L31">
        <f>AVERAGE(L2:L29)</f>
        <v>322.92116695464046</v>
      </c>
      <c r="M31">
        <f>AVERAGE(M2:M29)</f>
        <v>75.76570760366927</v>
      </c>
      <c r="N31">
        <f>AVERAGE(N2:N29)</f>
        <v>-9.7145173169567105</v>
      </c>
      <c r="O31">
        <f>AVERAGE(O2:O29)</f>
        <v>65.592873257820727</v>
      </c>
    </row>
    <row r="32" spans="1:16" x14ac:dyDescent="0.45">
      <c r="K32" t="s">
        <v>195</v>
      </c>
      <c r="L32">
        <f>MAX(L2:L29)</f>
        <v>480.62666113478031</v>
      </c>
      <c r="M32">
        <f>MAX(M2:M29)</f>
        <v>206.378443008998</v>
      </c>
      <c r="N32">
        <f>MAX(N2:N29)</f>
        <v>-5.3429776206969386</v>
      </c>
      <c r="O32">
        <f>MAX(O2:O29)</f>
        <v>109.04406912437729</v>
      </c>
    </row>
    <row r="33" spans="11:15" x14ac:dyDescent="0.45">
      <c r="K33" t="s">
        <v>194</v>
      </c>
      <c r="L33">
        <f>MIN(L2:L29)</f>
        <v>223.38038129357923</v>
      </c>
      <c r="M33">
        <f>MIN(M2:M29)</f>
        <v>21.232935078352888</v>
      </c>
      <c r="N33">
        <f>MIN(N2:N29)</f>
        <v>-15.530018352562982</v>
      </c>
      <c r="O33">
        <f>MIN(O2:O29)</f>
        <v>29.595392273167718</v>
      </c>
    </row>
  </sheetData>
  <pageMargins left="0.7" right="0.7" top="0.75" bottom="0.75" header="0.3" footer="0.3"/>
  <pageSetup orientation="portrait" horizontalDpi="4294967295" verticalDpi="4294967295"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T33"/>
  <sheetViews>
    <sheetView topLeftCell="E1" zoomScale="49" workbookViewId="0">
      <selection activeCell="L31" sqref="L31"/>
    </sheetView>
  </sheetViews>
  <sheetFormatPr defaultRowHeight="14.25" x14ac:dyDescent="0.45"/>
  <cols>
    <col min="2" max="2" width="30.1328125" bestFit="1" customWidth="1"/>
    <col min="3" max="3" width="30" bestFit="1" customWidth="1"/>
    <col min="8" max="8" width="32.1328125" bestFit="1" customWidth="1"/>
    <col min="9" max="9" width="34.59765625" bestFit="1" customWidth="1"/>
    <col min="10" max="10" width="30.59765625" customWidth="1"/>
    <col min="11" max="11" width="31.86328125" bestFit="1" customWidth="1"/>
    <col min="12" max="12" width="31.86328125" customWidth="1"/>
    <col min="13" max="13" width="34.1328125" bestFit="1" customWidth="1"/>
    <col min="14" max="14" width="34.59765625" bestFit="1" customWidth="1"/>
    <col min="16" max="16" width="46.1328125" bestFit="1" customWidth="1"/>
    <col min="17" max="17" width="31.86328125" customWidth="1"/>
    <col min="18" max="18" width="34.1328125" bestFit="1" customWidth="1"/>
  </cols>
  <sheetData>
    <row r="1" spans="1:20" x14ac:dyDescent="0.45">
      <c r="A1" t="s">
        <v>2</v>
      </c>
      <c r="B1" t="s">
        <v>242</v>
      </c>
      <c r="C1" t="s">
        <v>243</v>
      </c>
      <c r="D1" t="s">
        <v>244</v>
      </c>
      <c r="H1" t="s">
        <v>245</v>
      </c>
      <c r="I1" t="s">
        <v>246</v>
      </c>
      <c r="J1" t="s">
        <v>247</v>
      </c>
      <c r="K1" t="s">
        <v>248</v>
      </c>
      <c r="L1" t="s">
        <v>5</v>
      </c>
      <c r="M1" t="s">
        <v>249</v>
      </c>
      <c r="N1" t="s">
        <v>250</v>
      </c>
      <c r="P1" s="43" t="s">
        <v>251</v>
      </c>
      <c r="Q1" s="43" t="s">
        <v>5</v>
      </c>
      <c r="R1" t="s">
        <v>252</v>
      </c>
      <c r="S1" t="s">
        <v>253</v>
      </c>
      <c r="T1" t="s">
        <v>254</v>
      </c>
    </row>
    <row r="2" spans="1:20" x14ac:dyDescent="0.45">
      <c r="A2">
        <v>1988</v>
      </c>
      <c r="B2">
        <v>14.156231999999999</v>
      </c>
      <c r="C2">
        <v>59.895676000000002</v>
      </c>
      <c r="D2">
        <f>((C2*10^9)/(B2*10^6))/10^3</f>
        <v>4.231046510116534</v>
      </c>
      <c r="H2">
        <v>8.5415999786155901</v>
      </c>
      <c r="I2">
        <v>7.8224809999999998</v>
      </c>
      <c r="J2">
        <v>9.3377801999999992</v>
      </c>
      <c r="K2">
        <v>116.1279</v>
      </c>
      <c r="L2">
        <f>(K2-C2)/C2</f>
        <v>0.93883611898795494</v>
      </c>
      <c r="M2">
        <v>97.330935400000001</v>
      </c>
      <c r="N2">
        <v>150.92445839000001</v>
      </c>
      <c r="P2">
        <f>((K2*10^9)/(H2*10^6))/10^3</f>
        <v>13.595567609198886</v>
      </c>
      <c r="Q2">
        <f>(P2-D2)/D2</f>
        <v>2.2132872036957187</v>
      </c>
      <c r="R2">
        <v>11.711496260000001</v>
      </c>
      <c r="S2">
        <v>17.335263569999999</v>
      </c>
      <c r="T2" t="s">
        <v>255</v>
      </c>
    </row>
    <row r="3" spans="1:20" x14ac:dyDescent="0.45">
      <c r="A3">
        <v>1989</v>
      </c>
      <c r="B3">
        <v>14.238241</v>
      </c>
      <c r="C3">
        <v>67.980277000000001</v>
      </c>
      <c r="D3">
        <f t="shared" ref="D3:D29" si="0">((C3*10^9)/(B3*10^6))/10^3</f>
        <v>4.7744856264197244</v>
      </c>
      <c r="T3" t="s">
        <v>256</v>
      </c>
    </row>
    <row r="4" spans="1:20" x14ac:dyDescent="0.45">
      <c r="A4">
        <v>1990</v>
      </c>
      <c r="B4">
        <v>14.341127999999999</v>
      </c>
      <c r="C4">
        <v>74.970366999999996</v>
      </c>
      <c r="D4">
        <f t="shared" si="0"/>
        <v>5.227647853083802</v>
      </c>
    </row>
    <row r="5" spans="1:20" x14ac:dyDescent="0.45">
      <c r="A5">
        <v>1991</v>
      </c>
      <c r="B5">
        <v>13.87276</v>
      </c>
      <c r="C5">
        <v>72.092658</v>
      </c>
      <c r="D5">
        <f t="shared" si="0"/>
        <v>5.1967062069840466</v>
      </c>
      <c r="H5">
        <v>9.3291999843553892</v>
      </c>
      <c r="I5">
        <v>8.4962358000000009</v>
      </c>
      <c r="J5">
        <v>9.9884653999999991</v>
      </c>
      <c r="K5">
        <v>129.64481000000001</v>
      </c>
      <c r="L5">
        <f t="shared" ref="L5:L29" si="1">(K5-C5)/C5</f>
        <v>0.79830808846027024</v>
      </c>
      <c r="M5">
        <v>109.05876726</v>
      </c>
      <c r="N5">
        <v>156.83566468999999</v>
      </c>
      <c r="P5">
        <f>((K5*10^9)/(H5*10^6))/10^3</f>
        <v>13.89666961983964</v>
      </c>
      <c r="Q5">
        <f>(P5-D5)/D5</f>
        <v>1.674130317616068</v>
      </c>
      <c r="R5">
        <v>11.890084330000001</v>
      </c>
      <c r="S5">
        <v>17.104243440000001</v>
      </c>
    </row>
    <row r="6" spans="1:20" x14ac:dyDescent="0.45">
      <c r="A6">
        <v>1992</v>
      </c>
      <c r="B6">
        <v>13.593119</v>
      </c>
      <c r="C6">
        <v>101.2679</v>
      </c>
      <c r="D6">
        <f t="shared" si="0"/>
        <v>7.4499384578329666</v>
      </c>
    </row>
    <row r="7" spans="1:20" x14ac:dyDescent="0.45">
      <c r="A7">
        <v>1993</v>
      </c>
      <c r="B7">
        <v>13.778328999999999</v>
      </c>
      <c r="C7">
        <v>110.852259</v>
      </c>
      <c r="D7">
        <f t="shared" si="0"/>
        <v>8.0454065946603546</v>
      </c>
    </row>
    <row r="8" spans="1:20" x14ac:dyDescent="0.45">
      <c r="A8">
        <v>1994</v>
      </c>
      <c r="B8">
        <v>13.995756999999999</v>
      </c>
      <c r="C8">
        <v>135.86086900000001</v>
      </c>
      <c r="D8">
        <f t="shared" si="0"/>
        <v>9.7072897878978619</v>
      </c>
      <c r="H8">
        <v>7.5529316693120405</v>
      </c>
      <c r="I8">
        <v>7.2596001999999995</v>
      </c>
      <c r="J8">
        <v>8.1914680000000004</v>
      </c>
      <c r="K8">
        <v>121.78115</v>
      </c>
      <c r="L8">
        <f t="shared" si="1"/>
        <v>-0.10363336480646249</v>
      </c>
      <c r="M8">
        <v>105.75589868</v>
      </c>
      <c r="N8">
        <v>146.53614653</v>
      </c>
      <c r="P8">
        <f>((K8*10^9)/(H8*10^6))/10^3</f>
        <v>16.123692803259857</v>
      </c>
      <c r="Q8">
        <f>(P8-D8)/D8</f>
        <v>0.66098809817765658</v>
      </c>
      <c r="R8">
        <v>13.859054520000001</v>
      </c>
      <c r="S8">
        <v>18.941645560000001</v>
      </c>
    </row>
    <row r="9" spans="1:20" x14ac:dyDescent="0.45">
      <c r="A9">
        <v>1995</v>
      </c>
      <c r="B9">
        <v>14.158754999999999</v>
      </c>
      <c r="C9">
        <v>148.99946199999999</v>
      </c>
      <c r="D9">
        <f t="shared" si="0"/>
        <v>10.523486139847748</v>
      </c>
    </row>
    <row r="10" spans="1:20" x14ac:dyDescent="0.45">
      <c r="A10">
        <v>1996</v>
      </c>
      <c r="B10">
        <v>14.371185000000001</v>
      </c>
      <c r="C10">
        <v>175.060227</v>
      </c>
      <c r="D10">
        <f t="shared" si="0"/>
        <v>12.181335568361273</v>
      </c>
    </row>
    <row r="11" spans="1:20" x14ac:dyDescent="0.45">
      <c r="A11">
        <v>1997</v>
      </c>
      <c r="B11">
        <v>14.480636000000001</v>
      </c>
      <c r="C11">
        <v>198.82319100000001</v>
      </c>
      <c r="D11">
        <f t="shared" si="0"/>
        <v>13.730280286031634</v>
      </c>
      <c r="H11">
        <v>6.9453318550729399</v>
      </c>
      <c r="I11">
        <v>6.5116573999999998</v>
      </c>
      <c r="J11">
        <v>7.5825167499999999</v>
      </c>
      <c r="K11">
        <v>147.01769999999999</v>
      </c>
      <c r="L11">
        <f t="shared" si="1"/>
        <v>-0.26056060532697123</v>
      </c>
      <c r="M11">
        <v>119.45507717</v>
      </c>
      <c r="N11">
        <v>179.35479767000001</v>
      </c>
      <c r="P11">
        <f>((K11*10^9)/(H11*10^6))/10^3</f>
        <v>21.167843821979048</v>
      </c>
      <c r="Q11">
        <f>(P11-D11)/D11</f>
        <v>0.54169058322239394</v>
      </c>
      <c r="R11">
        <v>17.093310469999999</v>
      </c>
      <c r="S11">
        <v>25.219784950000001</v>
      </c>
    </row>
    <row r="12" spans="1:20" x14ac:dyDescent="0.45">
      <c r="A12">
        <v>1998</v>
      </c>
      <c r="B12">
        <v>14.647697000000001</v>
      </c>
      <c r="C12">
        <v>219.25892099999999</v>
      </c>
      <c r="D12">
        <f t="shared" si="0"/>
        <v>14.968832370030592</v>
      </c>
    </row>
    <row r="13" spans="1:20" x14ac:dyDescent="0.45">
      <c r="A13">
        <v>1999</v>
      </c>
      <c r="B13">
        <v>14.536311</v>
      </c>
      <c r="C13">
        <v>246.59140099999999</v>
      </c>
      <c r="D13">
        <f t="shared" si="0"/>
        <v>16.963822595705334</v>
      </c>
    </row>
    <row r="14" spans="1:20" x14ac:dyDescent="0.45">
      <c r="A14">
        <v>2000</v>
      </c>
      <c r="B14">
        <v>14.332632</v>
      </c>
      <c r="C14">
        <v>252.08540300000001</v>
      </c>
      <c r="D14">
        <f t="shared" si="0"/>
        <v>17.588214293090061</v>
      </c>
      <c r="H14">
        <v>6.8479325923806593</v>
      </c>
      <c r="I14">
        <v>6.3543498499999993</v>
      </c>
      <c r="J14">
        <v>7.6613642999999998</v>
      </c>
      <c r="K14">
        <v>180.29659000000001</v>
      </c>
      <c r="L14">
        <f t="shared" si="1"/>
        <v>-0.28477972998698381</v>
      </c>
      <c r="M14">
        <v>159.00012708</v>
      </c>
      <c r="N14">
        <v>205.50837371</v>
      </c>
      <c r="P14">
        <f>((K14*10^9)/(H14*10^6))/10^3</f>
        <v>26.328616347743655</v>
      </c>
      <c r="Q14">
        <f>(P14-D14)/D14</f>
        <v>0.4969465295909809</v>
      </c>
      <c r="R14">
        <v>22.186194960000002</v>
      </c>
      <c r="S14">
        <v>29.930217070000001</v>
      </c>
    </row>
    <row r="15" spans="1:20" x14ac:dyDescent="0.45">
      <c r="A15">
        <v>2001</v>
      </c>
      <c r="B15">
        <v>14.542983</v>
      </c>
      <c r="C15">
        <v>268.22420499999998</v>
      </c>
      <c r="D15">
        <f t="shared" si="0"/>
        <v>18.443547998371447</v>
      </c>
    </row>
    <row r="16" spans="1:20" x14ac:dyDescent="0.45">
      <c r="A16">
        <v>2002</v>
      </c>
      <c r="B16">
        <v>14.683764999999999</v>
      </c>
      <c r="C16">
        <v>278.19264700000002</v>
      </c>
      <c r="D16">
        <f t="shared" si="0"/>
        <v>18.945593790148507</v>
      </c>
    </row>
    <row r="17" spans="1:19" x14ac:dyDescent="0.45">
      <c r="A17">
        <v>2003</v>
      </c>
      <c r="B17">
        <v>14.824475</v>
      </c>
      <c r="C17">
        <v>295.6986</v>
      </c>
      <c r="D17">
        <f t="shared" si="0"/>
        <v>19.946649038161556</v>
      </c>
      <c r="H17" s="2">
        <v>8.8073186054941814</v>
      </c>
      <c r="I17">
        <v>8.1660172000000006</v>
      </c>
      <c r="J17">
        <v>9.628926100000001</v>
      </c>
      <c r="K17">
        <v>427.05700000000002</v>
      </c>
      <c r="L17">
        <f t="shared" si="1"/>
        <v>0.44423071330063796</v>
      </c>
      <c r="M17">
        <v>380.01209835999998</v>
      </c>
      <c r="N17">
        <v>482.83897691999999</v>
      </c>
      <c r="P17">
        <f>((K17*10^9)/(H17*10^6))/10^3</f>
        <v>48.488878298735933</v>
      </c>
      <c r="Q17">
        <f>(P17-D17)/D17</f>
        <v>1.4309285337084898</v>
      </c>
      <c r="R17">
        <v>42.590639809999999</v>
      </c>
      <c r="S17">
        <v>55.214276400000003</v>
      </c>
    </row>
    <row r="18" spans="1:19" x14ac:dyDescent="0.45">
      <c r="A18">
        <v>2004</v>
      </c>
      <c r="B18">
        <v>15.191998999999999</v>
      </c>
      <c r="C18">
        <v>357.37813499999999</v>
      </c>
      <c r="D18">
        <f t="shared" si="0"/>
        <v>23.52410206188139</v>
      </c>
      <c r="H18" s="2"/>
    </row>
    <row r="19" spans="1:19" x14ac:dyDescent="0.45">
      <c r="A19">
        <v>2005</v>
      </c>
      <c r="B19">
        <v>15.510991000000001</v>
      </c>
      <c r="C19">
        <v>447.04789499999998</v>
      </c>
      <c r="D19">
        <f t="shared" si="0"/>
        <v>28.82136254221281</v>
      </c>
      <c r="H19" s="2"/>
    </row>
    <row r="20" spans="1:19" x14ac:dyDescent="0.45">
      <c r="A20">
        <v>2006</v>
      </c>
      <c r="B20">
        <v>15.624587999999999</v>
      </c>
      <c r="C20">
        <v>466.087829</v>
      </c>
      <c r="D20">
        <f t="shared" si="0"/>
        <v>29.830407624188236</v>
      </c>
      <c r="H20" s="2">
        <v>11.493348085089899</v>
      </c>
      <c r="I20">
        <v>11.426639999999999</v>
      </c>
      <c r="J20">
        <v>12.852846</v>
      </c>
      <c r="K20">
        <v>805.62</v>
      </c>
      <c r="L20">
        <f t="shared" si="1"/>
        <v>0.72847251070355667</v>
      </c>
      <c r="M20">
        <v>730.84399780000001</v>
      </c>
      <c r="N20">
        <v>906.02960323000002</v>
      </c>
      <c r="P20">
        <f>((K20*10^9)/(H20*10^6))/10^3</f>
        <v>70.094457597183137</v>
      </c>
      <c r="Q20">
        <f>(P20-D20)/D20</f>
        <v>1.3497653293998724</v>
      </c>
      <c r="R20">
        <v>59.97966598</v>
      </c>
      <c r="S20">
        <v>75.223920730000003</v>
      </c>
    </row>
    <row r="21" spans="1:19" x14ac:dyDescent="0.45">
      <c r="A21">
        <v>2007</v>
      </c>
      <c r="B21">
        <v>16.184702999999999</v>
      </c>
      <c r="C21">
        <v>453.45091300000001</v>
      </c>
      <c r="D21">
        <f t="shared" si="0"/>
        <v>28.017252648998259</v>
      </c>
      <c r="H21" s="2"/>
    </row>
    <row r="22" spans="1:19" x14ac:dyDescent="0.45">
      <c r="A22">
        <v>2008</v>
      </c>
      <c r="B22">
        <v>16.273368999999999</v>
      </c>
      <c r="C22">
        <v>418.05557700000003</v>
      </c>
      <c r="D22">
        <f t="shared" si="0"/>
        <v>25.689553097456344</v>
      </c>
      <c r="H22" s="2"/>
    </row>
    <row r="23" spans="1:19" x14ac:dyDescent="0.45">
      <c r="A23">
        <v>2009</v>
      </c>
      <c r="B23">
        <v>16.432632999999999</v>
      </c>
      <c r="C23">
        <v>384.95275800000002</v>
      </c>
      <c r="D23">
        <f t="shared" si="0"/>
        <v>23.42611546183743</v>
      </c>
      <c r="H23" s="2">
        <v>11.5362013840766</v>
      </c>
      <c r="I23">
        <v>12.0163084</v>
      </c>
      <c r="J23">
        <v>13.1497338</v>
      </c>
      <c r="K23">
        <v>720.72699999999998</v>
      </c>
      <c r="L23">
        <f t="shared" si="1"/>
        <v>0.87224791879527186</v>
      </c>
      <c r="M23">
        <v>636.38540123999996</v>
      </c>
      <c r="N23">
        <v>812.77699358999996</v>
      </c>
      <c r="P23">
        <f>((K23*10^9)/(H23*10^6))/10^3</f>
        <v>62.475244320441405</v>
      </c>
      <c r="Q23">
        <f>(P23-D23)/D23</f>
        <v>1.6669058479719947</v>
      </c>
      <c r="R23">
        <v>50.681687169999996</v>
      </c>
      <c r="S23">
        <v>64.283007870000006</v>
      </c>
    </row>
    <row r="24" spans="1:19" x14ac:dyDescent="0.45">
      <c r="A24">
        <v>2010</v>
      </c>
      <c r="B24">
        <v>16.503382999999999</v>
      </c>
      <c r="C24">
        <v>445.734486</v>
      </c>
      <c r="D24">
        <f t="shared" si="0"/>
        <v>27.008673676178997</v>
      </c>
      <c r="H24" s="2"/>
    </row>
    <row r="25" spans="1:19" x14ac:dyDescent="0.45">
      <c r="A25">
        <v>2011</v>
      </c>
      <c r="B25">
        <v>16.767783999999999</v>
      </c>
      <c r="C25">
        <v>486.01595500000002</v>
      </c>
      <c r="D25">
        <f t="shared" si="0"/>
        <v>28.985103517554858</v>
      </c>
      <c r="H25" s="2"/>
    </row>
    <row r="26" spans="1:19" x14ac:dyDescent="0.45">
      <c r="A26">
        <v>2012</v>
      </c>
      <c r="B26">
        <v>17.208947999999999</v>
      </c>
      <c r="C26">
        <v>613.25834699999996</v>
      </c>
      <c r="D26">
        <f t="shared" si="0"/>
        <v>35.636016042351919</v>
      </c>
      <c r="H26" s="2">
        <v>12.7723986216032</v>
      </c>
      <c r="I26">
        <v>12.723563</v>
      </c>
      <c r="J26">
        <v>14.0799182</v>
      </c>
      <c r="K26">
        <v>949.25900000000001</v>
      </c>
      <c r="L26">
        <f t="shared" si="1"/>
        <v>0.54789413734632797</v>
      </c>
      <c r="M26">
        <v>855.32037611999999</v>
      </c>
      <c r="N26">
        <v>1083.8408036400001</v>
      </c>
      <c r="P26">
        <f>((K26*10^9)/(H26*10^6))/10^3</f>
        <v>74.321122298393178</v>
      </c>
      <c r="Q26">
        <f>(P26-D26)/D26</f>
        <v>1.0855620395407171</v>
      </c>
      <c r="R26">
        <v>63.095949259999998</v>
      </c>
      <c r="S26">
        <v>81.414722479999995</v>
      </c>
    </row>
    <row r="27" spans="1:19" x14ac:dyDescent="0.45">
      <c r="A27">
        <v>2013</v>
      </c>
      <c r="B27">
        <v>17.408197999999999</v>
      </c>
      <c r="C27">
        <v>613.54146600000001</v>
      </c>
      <c r="D27">
        <f t="shared" si="0"/>
        <v>35.244398415045602</v>
      </c>
      <c r="H27" s="2"/>
    </row>
    <row r="28" spans="1:19" x14ac:dyDescent="0.45">
      <c r="A28">
        <v>2014</v>
      </c>
      <c r="B28">
        <v>17.519383000000001</v>
      </c>
      <c r="C28">
        <v>679.383869</v>
      </c>
      <c r="D28">
        <f t="shared" si="0"/>
        <v>38.778983769006025</v>
      </c>
      <c r="H28" s="2"/>
    </row>
    <row r="29" spans="1:19" x14ac:dyDescent="0.45">
      <c r="A29">
        <v>2015</v>
      </c>
      <c r="B29">
        <v>17.522047000000001</v>
      </c>
      <c r="C29">
        <v>713.23770100000002</v>
      </c>
      <c r="D29">
        <f t="shared" si="0"/>
        <v>40.705158535415407</v>
      </c>
      <c r="H29" s="2">
        <v>14.4229956132697</v>
      </c>
      <c r="I29">
        <v>14.181939399999999</v>
      </c>
      <c r="J29">
        <v>15.6616345</v>
      </c>
      <c r="K29">
        <v>1142.1030000000001</v>
      </c>
      <c r="L29">
        <f t="shared" si="1"/>
        <v>0.60129364782414951</v>
      </c>
      <c r="M29">
        <v>1031.9070429183901</v>
      </c>
      <c r="N29">
        <v>1250.5172148223901</v>
      </c>
      <c r="P29">
        <f>((K29*10^9)/(H29*10^6))/10^3</f>
        <v>79.186254410922942</v>
      </c>
      <c r="Q29">
        <f>(P29-D29)/D29</f>
        <v>0.94536165095701974</v>
      </c>
    </row>
    <row r="30" spans="1:19" x14ac:dyDescent="0.45">
      <c r="H30" s="2"/>
    </row>
    <row r="31" spans="1:19" x14ac:dyDescent="0.45">
      <c r="A31" s="56" t="s">
        <v>38</v>
      </c>
      <c r="B31" s="52"/>
      <c r="C31" s="52"/>
      <c r="D31" s="52"/>
      <c r="E31" s="52"/>
      <c r="F31" s="52"/>
      <c r="G31" s="52"/>
      <c r="H31" s="52"/>
      <c r="I31" s="52"/>
      <c r="J31" s="52"/>
      <c r="K31" s="55">
        <f>AVERAGE(K2:K29)</f>
        <v>473.963415</v>
      </c>
      <c r="L31" s="55">
        <f>AVERAGE(L2:L29)</f>
        <v>0.42823094352977514</v>
      </c>
      <c r="M31" s="52"/>
      <c r="N31" s="52"/>
      <c r="O31" s="52"/>
      <c r="P31" s="55">
        <f>AVERAGE(P2:P29)</f>
        <v>42.567834712769766</v>
      </c>
      <c r="Q31" s="55">
        <f>AVERAGE(Q2:Q29)</f>
        <v>1.2065566133880912</v>
      </c>
      <c r="R31" s="52"/>
      <c r="S31" s="52"/>
    </row>
    <row r="32" spans="1:19" x14ac:dyDescent="0.45">
      <c r="A32" s="56" t="s">
        <v>39</v>
      </c>
      <c r="B32" s="52"/>
      <c r="C32" s="52"/>
      <c r="D32" s="52"/>
      <c r="E32" s="52"/>
      <c r="F32" s="52"/>
      <c r="G32" s="52"/>
      <c r="H32" s="52"/>
      <c r="I32" s="52"/>
      <c r="J32" s="52"/>
      <c r="K32" s="55">
        <f>MIN(K2:K29)</f>
        <v>116.1279</v>
      </c>
      <c r="L32" s="55">
        <f>MIN(L2:L29)</f>
        <v>-0.28477972998698381</v>
      </c>
      <c r="M32" s="52"/>
      <c r="N32" s="52"/>
      <c r="O32" s="52"/>
      <c r="P32" s="55">
        <f>MIN(P2:P29)</f>
        <v>13.595567609198886</v>
      </c>
      <c r="Q32" s="55">
        <f>MIN(Q2:Q29)</f>
        <v>0.4969465295909809</v>
      </c>
      <c r="R32" s="52"/>
      <c r="S32" s="52"/>
    </row>
    <row r="33" spans="1:19" x14ac:dyDescent="0.45">
      <c r="A33" s="56" t="s">
        <v>40</v>
      </c>
      <c r="B33" s="52"/>
      <c r="C33" s="52"/>
      <c r="D33" s="52"/>
      <c r="E33" s="52"/>
      <c r="F33" s="52"/>
      <c r="G33" s="52"/>
      <c r="H33" s="52"/>
      <c r="I33" s="52"/>
      <c r="J33" s="52"/>
      <c r="K33" s="55">
        <f>MAX(K2:K29)</f>
        <v>1142.1030000000001</v>
      </c>
      <c r="L33" s="55">
        <f>MAX(L2:L29)</f>
        <v>0.93883611898795494</v>
      </c>
      <c r="M33" s="52"/>
      <c r="N33" s="52"/>
      <c r="O33" s="52"/>
      <c r="P33" s="55">
        <f>MAX(P2:P29)</f>
        <v>79.186254410922942</v>
      </c>
      <c r="Q33" s="55">
        <f>MAX(Q2:Q29)</f>
        <v>2.2132872036957187</v>
      </c>
      <c r="R33" s="52"/>
      <c r="S33" s="52"/>
    </row>
  </sheetData>
  <pageMargins left="0.7" right="0.7" top="0.75" bottom="0.75" header="0.3" footer="0.3"/>
  <pageSetup orientation="portrait" horizontalDpi="4294967295" verticalDpi="4294967295"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Q16"/>
  <sheetViews>
    <sheetView zoomScale="70" zoomScaleNormal="70" workbookViewId="0">
      <selection activeCell="C3" sqref="C3"/>
    </sheetView>
  </sheetViews>
  <sheetFormatPr defaultRowHeight="14.25" x14ac:dyDescent="0.45"/>
  <cols>
    <col min="2" max="2" width="16.1328125" customWidth="1"/>
    <col min="4" max="4" width="18.1328125" customWidth="1"/>
    <col min="5" max="5" width="34.1328125" customWidth="1"/>
    <col min="6" max="6" width="20.1328125" customWidth="1"/>
    <col min="7" max="7" width="26" customWidth="1"/>
    <col min="8" max="8" width="24.86328125" customWidth="1"/>
    <col min="9" max="9" width="33.59765625" customWidth="1"/>
    <col min="10" max="10" width="59.265625" bestFit="1" customWidth="1"/>
    <col min="11" max="11" width="10.59765625" bestFit="1" customWidth="1"/>
    <col min="12" max="12" width="59.1328125" bestFit="1" customWidth="1"/>
    <col min="13" max="13" width="12.59765625" customWidth="1"/>
    <col min="14" max="14" width="40.3984375" bestFit="1" customWidth="1"/>
    <col min="15" max="15" width="64.1328125" bestFit="1" customWidth="1"/>
    <col min="16" max="16" width="29.265625" customWidth="1"/>
    <col min="17" max="17" width="24.265625" customWidth="1"/>
  </cols>
  <sheetData>
    <row r="1" spans="1:17" x14ac:dyDescent="0.45">
      <c r="A1" t="s">
        <v>2</v>
      </c>
      <c r="B1" s="101" t="s">
        <v>266</v>
      </c>
      <c r="C1" s="101"/>
      <c r="D1" s="101" t="s">
        <v>265</v>
      </c>
      <c r="E1" s="101"/>
      <c r="F1" s="101" t="s">
        <v>267</v>
      </c>
      <c r="G1" s="101"/>
      <c r="H1" s="101" t="s">
        <v>270</v>
      </c>
      <c r="I1" s="101"/>
      <c r="J1" s="101" t="s">
        <v>295</v>
      </c>
      <c r="K1" s="101"/>
      <c r="L1" s="101" t="s">
        <v>298</v>
      </c>
      <c r="M1" s="101"/>
      <c r="N1" s="62" t="s">
        <v>300</v>
      </c>
      <c r="O1" s="62" t="s">
        <v>299</v>
      </c>
      <c r="P1" s="99"/>
      <c r="Q1" s="99"/>
    </row>
    <row r="2" spans="1:17" x14ac:dyDescent="0.45">
      <c r="B2" s="57" t="s">
        <v>263</v>
      </c>
      <c r="C2" s="57" t="s">
        <v>264</v>
      </c>
      <c r="D2" s="57" t="s">
        <v>263</v>
      </c>
      <c r="E2" s="57" t="s">
        <v>264</v>
      </c>
      <c r="F2" s="57" t="s">
        <v>263</v>
      </c>
      <c r="G2" s="57" t="s">
        <v>264</v>
      </c>
      <c r="H2" s="57" t="s">
        <v>263</v>
      </c>
      <c r="I2" s="57" t="s">
        <v>264</v>
      </c>
      <c r="J2" s="61" t="s">
        <v>297</v>
      </c>
      <c r="K2" s="61" t="s">
        <v>264</v>
      </c>
      <c r="L2" s="61" t="s">
        <v>297</v>
      </c>
      <c r="M2" s="61" t="s">
        <v>264</v>
      </c>
      <c r="N2" s="61"/>
      <c r="O2" s="61" t="s">
        <v>296</v>
      </c>
    </row>
    <row r="3" spans="1:17" x14ac:dyDescent="0.45">
      <c r="A3">
        <v>1988</v>
      </c>
      <c r="B3">
        <v>127</v>
      </c>
      <c r="C3">
        <v>4.9000000000000004</v>
      </c>
      <c r="D3">
        <v>95</v>
      </c>
      <c r="E3">
        <v>4.3</v>
      </c>
      <c r="F3">
        <v>81</v>
      </c>
      <c r="G3">
        <v>1.8</v>
      </c>
      <c r="H3">
        <v>75.3</v>
      </c>
      <c r="I3">
        <v>1</v>
      </c>
      <c r="J3" s="67">
        <v>8.3225638971792506</v>
      </c>
      <c r="K3" s="67">
        <v>0.40095032361098099</v>
      </c>
      <c r="L3" s="67">
        <v>0.40667212754012699</v>
      </c>
      <c r="M3" s="67">
        <v>0.20461703104526999</v>
      </c>
      <c r="N3" s="67">
        <v>2.1315364617964599E-2</v>
      </c>
      <c r="O3">
        <v>110.995</v>
      </c>
      <c r="P3" s="70">
        <f>H3+L3</f>
        <v>75.706672127540131</v>
      </c>
      <c r="Q3" s="70">
        <f>I3+M3</f>
        <v>1.20461703104527</v>
      </c>
    </row>
    <row r="4" spans="1:17" x14ac:dyDescent="0.45">
      <c r="A4">
        <v>1991</v>
      </c>
      <c r="B4">
        <v>129</v>
      </c>
      <c r="C4">
        <v>5.5</v>
      </c>
      <c r="D4">
        <v>167</v>
      </c>
      <c r="E4">
        <v>4.9000000000000004</v>
      </c>
      <c r="F4">
        <v>116</v>
      </c>
      <c r="G4">
        <v>3.1</v>
      </c>
      <c r="H4">
        <v>160.80000000000001</v>
      </c>
      <c r="I4">
        <v>0.7</v>
      </c>
      <c r="J4" s="67">
        <v>14.5422875722188</v>
      </c>
      <c r="K4" s="67">
        <v>0.40856904634202001</v>
      </c>
      <c r="L4" s="67">
        <v>10.6986141799434</v>
      </c>
      <c r="M4" s="67">
        <v>0.161727280666672</v>
      </c>
      <c r="N4" s="67">
        <v>7.3074981315373599E-2</v>
      </c>
      <c r="O4">
        <v>117.00700000000001</v>
      </c>
      <c r="P4" s="70">
        <f t="shared" ref="P4:P9" si="0">H4+L4</f>
        <v>171.49861417994342</v>
      </c>
      <c r="Q4" s="70">
        <f t="shared" ref="Q4:Q9" si="1">I4+M4</f>
        <v>0.86172728066667192</v>
      </c>
    </row>
    <row r="5" spans="1:17" x14ac:dyDescent="0.45">
      <c r="A5">
        <v>1994</v>
      </c>
      <c r="B5">
        <v>167</v>
      </c>
      <c r="C5">
        <v>5.0999999999999996</v>
      </c>
      <c r="D5">
        <v>187</v>
      </c>
      <c r="E5">
        <v>4.8</v>
      </c>
      <c r="F5">
        <v>42</v>
      </c>
      <c r="G5">
        <v>2.6</v>
      </c>
      <c r="H5">
        <v>55.7</v>
      </c>
      <c r="I5">
        <v>0.7</v>
      </c>
      <c r="J5" s="67">
        <v>6.8463069261528</v>
      </c>
      <c r="K5" s="67">
        <v>0.45940774781373001</v>
      </c>
      <c r="L5" s="67">
        <v>0.61530183285197804</v>
      </c>
      <c r="M5" s="67">
        <v>0.22554807847670699</v>
      </c>
      <c r="N5" s="67">
        <v>0.13337820044680701</v>
      </c>
      <c r="O5">
        <v>122.3879</v>
      </c>
      <c r="P5" s="70">
        <f t="shared" si="0"/>
        <v>56.315301832851979</v>
      </c>
      <c r="Q5" s="70">
        <f t="shared" si="1"/>
        <v>0.92554807847670695</v>
      </c>
    </row>
    <row r="6" spans="1:17" x14ac:dyDescent="0.45">
      <c r="A6">
        <v>1997</v>
      </c>
      <c r="B6">
        <v>299</v>
      </c>
      <c r="C6">
        <v>5.9</v>
      </c>
      <c r="D6">
        <v>203</v>
      </c>
      <c r="E6">
        <v>4.5</v>
      </c>
      <c r="F6">
        <v>126</v>
      </c>
      <c r="G6">
        <v>2.5</v>
      </c>
      <c r="H6">
        <v>73.599999999999994</v>
      </c>
      <c r="I6">
        <v>0.7</v>
      </c>
      <c r="J6" s="67">
        <v>5.6885716522164103</v>
      </c>
      <c r="K6" s="67">
        <v>0.25022333359818799</v>
      </c>
      <c r="L6" s="67">
        <v>4.2055938057883502</v>
      </c>
      <c r="M6" s="67">
        <v>9.3623831390597101E-2</v>
      </c>
      <c r="N6" s="67">
        <v>3.08303249477139E-5</v>
      </c>
      <c r="O6">
        <v>176.6977</v>
      </c>
      <c r="P6" s="70">
        <f t="shared" si="0"/>
        <v>77.805593805788348</v>
      </c>
      <c r="Q6" s="70">
        <f t="shared" si="1"/>
        <v>0.793623831390597</v>
      </c>
    </row>
    <row r="7" spans="1:17" x14ac:dyDescent="0.45">
      <c r="A7">
        <v>2000</v>
      </c>
      <c r="B7">
        <v>336</v>
      </c>
      <c r="C7">
        <v>5</v>
      </c>
      <c r="D7">
        <v>228</v>
      </c>
      <c r="E7">
        <v>4.3</v>
      </c>
      <c r="F7">
        <v>177</v>
      </c>
      <c r="G7">
        <v>3.2</v>
      </c>
      <c r="H7">
        <v>88.7</v>
      </c>
      <c r="I7">
        <v>0.8</v>
      </c>
      <c r="J7" s="67">
        <v>1.8959844526907099</v>
      </c>
      <c r="K7" s="67">
        <v>8.9776747644365495E-2</v>
      </c>
      <c r="L7" s="67">
        <v>0.80515750664583796</v>
      </c>
      <c r="M7" s="67">
        <v>6.9359460041620094E-2</v>
      </c>
      <c r="N7" s="67">
        <v>3.3265276774206198E-6</v>
      </c>
      <c r="O7">
        <v>196.495</v>
      </c>
      <c r="P7" s="70">
        <f t="shared" si="0"/>
        <v>89.505157506645844</v>
      </c>
      <c r="Q7" s="70">
        <f t="shared" si="1"/>
        <v>0.86935946004162012</v>
      </c>
    </row>
    <row r="8" spans="1:17" x14ac:dyDescent="0.45">
      <c r="A8">
        <v>2003</v>
      </c>
      <c r="B8">
        <v>193</v>
      </c>
      <c r="C8">
        <v>5.8</v>
      </c>
      <c r="D8">
        <v>174</v>
      </c>
      <c r="E8">
        <v>4.9000000000000004</v>
      </c>
      <c r="F8">
        <v>75.599999999999994</v>
      </c>
      <c r="G8">
        <v>2.5</v>
      </c>
      <c r="H8">
        <v>57.2</v>
      </c>
      <c r="I8">
        <v>0.5</v>
      </c>
      <c r="J8" s="67">
        <v>0.66552299166287998</v>
      </c>
      <c r="K8" s="67">
        <v>0.125395171964897</v>
      </c>
      <c r="L8" s="67">
        <v>0.11018075712566899</v>
      </c>
      <c r="M8" s="67">
        <v>0.114510719102993</v>
      </c>
      <c r="N8" s="67">
        <v>2.8323073099766901E-6</v>
      </c>
      <c r="O8">
        <v>201.434</v>
      </c>
      <c r="P8" s="70">
        <f t="shared" si="0"/>
        <v>57.310180757125671</v>
      </c>
      <c r="Q8" s="70">
        <f t="shared" si="1"/>
        <v>0.61451071910299304</v>
      </c>
    </row>
    <row r="9" spans="1:17" x14ac:dyDescent="0.45">
      <c r="A9">
        <v>2006</v>
      </c>
      <c r="B9">
        <v>217</v>
      </c>
      <c r="C9">
        <v>5.8</v>
      </c>
      <c r="D9">
        <v>239</v>
      </c>
      <c r="E9">
        <v>6</v>
      </c>
      <c r="F9">
        <v>31</v>
      </c>
      <c r="G9">
        <v>1.4</v>
      </c>
      <c r="H9">
        <v>50.5</v>
      </c>
      <c r="I9">
        <v>0.5</v>
      </c>
      <c r="J9" s="67">
        <v>2.8909932231590099</v>
      </c>
      <c r="K9" s="67">
        <v>0.11162251236862999</v>
      </c>
      <c r="L9" s="67">
        <v>0.45670499132519898</v>
      </c>
      <c r="M9" s="67">
        <v>3.79540361301531E-2</v>
      </c>
      <c r="N9" s="67">
        <v>1.15627036092288E-5</v>
      </c>
      <c r="O9">
        <v>323.36399999999998</v>
      </c>
      <c r="P9" s="70">
        <f t="shared" si="0"/>
        <v>50.956704991325196</v>
      </c>
      <c r="Q9" s="70">
        <f t="shared" si="1"/>
        <v>0.53795403613015313</v>
      </c>
    </row>
    <row r="10" spans="1:17" x14ac:dyDescent="0.45">
      <c r="A10">
        <v>2009</v>
      </c>
      <c r="B10">
        <v>182</v>
      </c>
      <c r="C10">
        <v>6.6</v>
      </c>
      <c r="D10">
        <v>237</v>
      </c>
      <c r="E10">
        <v>6.9</v>
      </c>
      <c r="F10">
        <v>4.4000000000000004</v>
      </c>
      <c r="G10">
        <v>0.9</v>
      </c>
      <c r="H10">
        <v>33.5</v>
      </c>
      <c r="I10">
        <v>0.5</v>
      </c>
      <c r="J10" s="66"/>
      <c r="K10" s="66"/>
      <c r="L10" s="66"/>
      <c r="M10" s="66"/>
      <c r="N10" s="66"/>
      <c r="O10">
        <v>282.01100000000002</v>
      </c>
      <c r="P10" s="67"/>
    </row>
    <row r="11" spans="1:17" x14ac:dyDescent="0.45">
      <c r="A11">
        <v>2012</v>
      </c>
      <c r="B11">
        <v>175</v>
      </c>
      <c r="C11">
        <v>6.4</v>
      </c>
      <c r="D11">
        <v>189</v>
      </c>
      <c r="E11">
        <v>5.0999999999999996</v>
      </c>
      <c r="F11">
        <v>67.400000000000006</v>
      </c>
      <c r="G11">
        <v>1.1000000000000001</v>
      </c>
      <c r="H11">
        <v>37.6</v>
      </c>
      <c r="I11">
        <v>0.5</v>
      </c>
      <c r="J11" s="66"/>
      <c r="K11" s="66"/>
      <c r="L11" s="66"/>
      <c r="M11" s="66"/>
      <c r="N11" s="66"/>
      <c r="O11">
        <v>203.732</v>
      </c>
      <c r="P11" s="67"/>
    </row>
    <row r="12" spans="1:17" x14ac:dyDescent="0.45">
      <c r="A12">
        <v>2015</v>
      </c>
      <c r="B12">
        <v>303</v>
      </c>
      <c r="C12">
        <v>9.1999999999999993</v>
      </c>
      <c r="D12">
        <v>206</v>
      </c>
      <c r="E12">
        <v>6.3</v>
      </c>
      <c r="F12">
        <v>23</v>
      </c>
      <c r="G12">
        <v>0.8</v>
      </c>
      <c r="H12">
        <v>74</v>
      </c>
      <c r="I12">
        <v>0.7</v>
      </c>
      <c r="J12" s="66"/>
      <c r="K12" s="66"/>
      <c r="L12" s="66"/>
      <c r="M12" s="66"/>
      <c r="N12" s="66"/>
      <c r="O12">
        <v>260.91000000000003</v>
      </c>
      <c r="P12" s="67"/>
    </row>
    <row r="14" spans="1:17" x14ac:dyDescent="0.45">
      <c r="A14" t="s">
        <v>268</v>
      </c>
    </row>
    <row r="15" spans="1:17" x14ac:dyDescent="0.45">
      <c r="A15" t="s">
        <v>269</v>
      </c>
    </row>
    <row r="16" spans="1:17" x14ac:dyDescent="0.45">
      <c r="A16" t="s">
        <v>271</v>
      </c>
    </row>
  </sheetData>
  <mergeCells count="7">
    <mergeCell ref="L1:M1"/>
    <mergeCell ref="P1:Q1"/>
    <mergeCell ref="B1:C1"/>
    <mergeCell ref="D1:E1"/>
    <mergeCell ref="F1:G1"/>
    <mergeCell ref="H1:I1"/>
    <mergeCell ref="J1:K1"/>
  </mergeCells>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F14"/>
  <sheetViews>
    <sheetView workbookViewId="0">
      <selection activeCell="D11" sqref="D11:D14"/>
    </sheetView>
  </sheetViews>
  <sheetFormatPr defaultColWidth="9.1328125" defaultRowHeight="14.25" x14ac:dyDescent="0.45"/>
  <cols>
    <col min="1" max="1" width="12.86328125" style="58" bestFit="1" customWidth="1"/>
    <col min="2" max="2" width="41" style="58" bestFit="1" customWidth="1"/>
    <col min="3" max="3" width="71" style="58" bestFit="1" customWidth="1"/>
    <col min="4" max="4" width="62.86328125" style="58" bestFit="1" customWidth="1"/>
    <col min="5" max="5" width="59.59765625" style="58" bestFit="1" customWidth="1"/>
    <col min="6" max="16384" width="9.1328125" style="58"/>
  </cols>
  <sheetData>
    <row r="1" spans="1:6" x14ac:dyDescent="0.45">
      <c r="A1" s="58" t="s">
        <v>284</v>
      </c>
      <c r="F1" s="58" t="s">
        <v>283</v>
      </c>
    </row>
    <row r="2" spans="1:6" x14ac:dyDescent="0.45">
      <c r="B2" s="58" t="s">
        <v>279</v>
      </c>
      <c r="C2" s="58" t="s">
        <v>278</v>
      </c>
      <c r="D2" s="58" t="s">
        <v>277</v>
      </c>
      <c r="E2" s="58" t="s">
        <v>276</v>
      </c>
      <c r="F2" s="58" t="s">
        <v>282</v>
      </c>
    </row>
    <row r="3" spans="1:6" x14ac:dyDescent="0.45">
      <c r="A3" s="58" t="s">
        <v>275</v>
      </c>
      <c r="B3" s="59">
        <v>3.6436232488204801</v>
      </c>
      <c r="C3" s="59">
        <v>2.7979929349566399</v>
      </c>
      <c r="D3" s="59">
        <f>C3/B3</f>
        <v>0.76791499666229512</v>
      </c>
      <c r="E3" s="59">
        <f>C3/SUM($C$3:$C$6)</f>
        <v>0.25503820941852956</v>
      </c>
      <c r="F3" s="58" t="s">
        <v>281</v>
      </c>
    </row>
    <row r="4" spans="1:6" x14ac:dyDescent="0.45">
      <c r="A4" s="58" t="s">
        <v>274</v>
      </c>
      <c r="B4" s="59">
        <v>3.6691772080336702</v>
      </c>
      <c r="C4" s="59">
        <v>2.8872618146132898</v>
      </c>
      <c r="D4" s="59">
        <f>C4/B4</f>
        <v>0.78689625791079942</v>
      </c>
      <c r="E4" s="59">
        <f>C4/SUM($C$3:$C$6)</f>
        <v>0.26317510459792459</v>
      </c>
    </row>
    <row r="5" spans="1:6" x14ac:dyDescent="0.45">
      <c r="A5" s="58" t="s">
        <v>273</v>
      </c>
      <c r="B5" s="59">
        <v>3.60731524657084</v>
      </c>
      <c r="C5" s="59">
        <v>2.6910680645313398</v>
      </c>
      <c r="D5" s="59">
        <f>C5/B5</f>
        <v>0.74600301902904209</v>
      </c>
      <c r="E5" s="59">
        <f>C5/SUM($C$3:$C$6)</f>
        <v>0.24529196340236531</v>
      </c>
    </row>
    <row r="6" spans="1:6" x14ac:dyDescent="0.45">
      <c r="A6" s="58" t="s">
        <v>272</v>
      </c>
      <c r="B6" s="59">
        <v>3.6399061553681</v>
      </c>
      <c r="C6" s="59">
        <v>2.59455461377858</v>
      </c>
      <c r="D6" s="59">
        <f>C6/B6</f>
        <v>0.71280810631673974</v>
      </c>
      <c r="E6" s="59">
        <f>C6/SUM($C$3:$C$6)</f>
        <v>0.23649472258118048</v>
      </c>
    </row>
    <row r="9" spans="1:6" x14ac:dyDescent="0.45">
      <c r="A9" s="58" t="s">
        <v>280</v>
      </c>
    </row>
    <row r="10" spans="1:6" x14ac:dyDescent="0.45">
      <c r="B10" s="58" t="s">
        <v>279</v>
      </c>
      <c r="C10" s="58" t="s">
        <v>278</v>
      </c>
      <c r="D10" s="58" t="s">
        <v>277</v>
      </c>
      <c r="E10" s="58" t="s">
        <v>276</v>
      </c>
    </row>
    <row r="11" spans="1:6" x14ac:dyDescent="0.45">
      <c r="A11" s="58" t="s">
        <v>275</v>
      </c>
      <c r="B11" s="59">
        <v>3.6595589072922099</v>
      </c>
      <c r="C11" s="59">
        <v>2.64826238747948</v>
      </c>
      <c r="D11" s="59">
        <f>C11/B11</f>
        <v>0.72365617129496873</v>
      </c>
      <c r="E11" s="59">
        <f>C11/SUM($C$11:$C$14)</f>
        <v>0.24139020829360056</v>
      </c>
    </row>
    <row r="12" spans="1:6" x14ac:dyDescent="0.45">
      <c r="A12" s="58" t="s">
        <v>274</v>
      </c>
      <c r="B12" s="59">
        <v>3.6236692791637899</v>
      </c>
      <c r="C12" s="59">
        <v>2.6262736060504599</v>
      </c>
      <c r="D12" s="59">
        <f>C12/B12</f>
        <v>0.72475532498277762</v>
      </c>
      <c r="E12" s="59">
        <f>C12/SUM($C$11:$C$14)</f>
        <v>0.23938592180206245</v>
      </c>
    </row>
    <row r="13" spans="1:6" x14ac:dyDescent="0.45">
      <c r="A13" s="58" t="s">
        <v>273</v>
      </c>
      <c r="B13" s="59">
        <v>3.6385638843887902</v>
      </c>
      <c r="C13" s="59">
        <v>2.9028277053413198</v>
      </c>
      <c r="D13" s="59">
        <f>C13/B13</f>
        <v>0.79779489864005504</v>
      </c>
      <c r="E13" s="59">
        <f>C13/SUM($C$11:$C$14)</f>
        <v>0.26459394195440356</v>
      </c>
    </row>
    <row r="14" spans="1:6" x14ac:dyDescent="0.45">
      <c r="A14" s="58" t="s">
        <v>272</v>
      </c>
      <c r="B14" s="59">
        <v>3.6382297879482999</v>
      </c>
      <c r="C14" s="59">
        <v>2.7935137290086001</v>
      </c>
      <c r="D14" s="59">
        <f>C14/B14</f>
        <v>0.76782223548995265</v>
      </c>
      <c r="E14" s="59">
        <f>C14/SUM($C$11:$C$14)</f>
        <v>0.2546299279499335</v>
      </c>
    </row>
  </sheetData>
  <pageMargins left="0.7" right="0.7" top="0.75" bottom="0.75" header="0.3" footer="0.3"/>
  <pageSetup orientation="portrait" horizontalDpi="4294967295" verticalDpi="4294967295"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E7"/>
  <sheetViews>
    <sheetView workbookViewId="0">
      <selection activeCell="A19" sqref="A19"/>
    </sheetView>
  </sheetViews>
  <sheetFormatPr defaultColWidth="9.1328125" defaultRowHeight="14.25" x14ac:dyDescent="0.45"/>
  <cols>
    <col min="1" max="1" width="61.1328125" style="58" bestFit="1" customWidth="1"/>
    <col min="2" max="2" width="45.59765625" style="58" bestFit="1" customWidth="1"/>
    <col min="3" max="3" width="78" style="58" bestFit="1" customWidth="1"/>
    <col min="4" max="4" width="69.1328125" style="58" bestFit="1" customWidth="1"/>
    <col min="5" max="16384" width="9.1328125" style="58"/>
  </cols>
  <sheetData>
    <row r="1" spans="1:5" x14ac:dyDescent="0.45">
      <c r="E1" s="58" t="s">
        <v>283</v>
      </c>
    </row>
    <row r="2" spans="1:5" x14ac:dyDescent="0.45">
      <c r="A2" s="58" t="s">
        <v>289</v>
      </c>
      <c r="B2" s="58" t="s">
        <v>279</v>
      </c>
      <c r="C2" s="58" t="s">
        <v>278</v>
      </c>
      <c r="D2" s="58" t="s">
        <v>277</v>
      </c>
      <c r="E2" s="58" t="s">
        <v>282</v>
      </c>
    </row>
    <row r="3" spans="1:5" x14ac:dyDescent="0.45">
      <c r="A3" s="71" t="s">
        <v>288</v>
      </c>
      <c r="B3" s="59">
        <v>2.7133620000000001</v>
      </c>
      <c r="C3" s="59">
        <v>1.909878</v>
      </c>
      <c r="D3" s="59">
        <f>C3/B3</f>
        <v>0.70387880422884963</v>
      </c>
      <c r="E3" s="58" t="s">
        <v>281</v>
      </c>
    </row>
    <row r="4" spans="1:5" x14ac:dyDescent="0.45">
      <c r="A4" s="58" t="s">
        <v>287</v>
      </c>
      <c r="B4" s="59">
        <v>11.84666</v>
      </c>
      <c r="C4" s="59">
        <v>9.0609990000000007</v>
      </c>
      <c r="D4" s="59">
        <f>C4/B4</f>
        <v>0.76485684572698132</v>
      </c>
    </row>
    <row r="5" spans="1:5" x14ac:dyDescent="0.45">
      <c r="B5" s="59"/>
      <c r="C5" s="59"/>
      <c r="D5" s="59"/>
    </row>
    <row r="6" spans="1:5" x14ac:dyDescent="0.45">
      <c r="A6" s="58" t="s">
        <v>286</v>
      </c>
      <c r="B6" s="59">
        <v>14.560022</v>
      </c>
      <c r="C6" s="59">
        <v>10.970877</v>
      </c>
      <c r="D6" s="59">
        <f>C6/B6</f>
        <v>0.75349316093066343</v>
      </c>
    </row>
    <row r="7" spans="1:5" x14ac:dyDescent="0.45">
      <c r="A7" s="58" t="s">
        <v>285</v>
      </c>
      <c r="B7" s="59">
        <v>11.905464</v>
      </c>
      <c r="C7" s="59">
        <v>9.0934430000000006</v>
      </c>
      <c r="D7" s="59">
        <f>C7/B7</f>
        <v>0.76380416588551281</v>
      </c>
    </row>
  </sheetData>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33"/>
  <sheetViews>
    <sheetView zoomScale="85" zoomScaleNormal="85" workbookViewId="0">
      <selection activeCell="H17" sqref="H17"/>
    </sheetView>
  </sheetViews>
  <sheetFormatPr defaultRowHeight="14.25" x14ac:dyDescent="0.45"/>
  <cols>
    <col min="1" max="1" width="8.3984375"/>
    <col min="22" max="24" width="8.3984375"/>
    <col min="25" max="25" width="9.3984375" bestFit="1" customWidth="1"/>
    <col min="26" max="26" width="8.86328125" bestFit="1" customWidth="1"/>
    <col min="27" max="1025" width="8.3984375"/>
  </cols>
  <sheetData>
    <row r="1" spans="1:26" ht="18" x14ac:dyDescent="0.55000000000000004">
      <c r="B1" s="83" t="s">
        <v>19</v>
      </c>
      <c r="C1" s="83"/>
      <c r="D1" s="83"/>
      <c r="E1" s="83"/>
      <c r="F1" s="83"/>
      <c r="G1" s="83"/>
      <c r="H1" s="83"/>
      <c r="I1" s="83"/>
      <c r="J1" s="83"/>
      <c r="K1" s="83"/>
      <c r="L1" s="83"/>
      <c r="M1" s="83"/>
      <c r="N1" s="83"/>
      <c r="O1" s="83"/>
      <c r="P1" s="83"/>
      <c r="Q1" s="83"/>
      <c r="R1" s="83"/>
      <c r="S1" s="83"/>
      <c r="T1" s="83"/>
      <c r="U1" s="83"/>
    </row>
    <row r="2" spans="1:26" x14ac:dyDescent="0.45">
      <c r="B2" s="92" t="s">
        <v>12</v>
      </c>
      <c r="C2" s="92"/>
      <c r="D2" s="92"/>
      <c r="E2" s="92"/>
      <c r="F2" s="92"/>
      <c r="G2" s="92" t="s">
        <v>13</v>
      </c>
      <c r="H2" s="92"/>
      <c r="I2" s="92"/>
      <c r="J2" s="92"/>
      <c r="K2" s="92"/>
      <c r="L2" s="92" t="s">
        <v>14</v>
      </c>
      <c r="M2" s="92"/>
      <c r="N2" s="92"/>
      <c r="O2" s="92"/>
      <c r="P2" s="92"/>
      <c r="Q2" s="92" t="s">
        <v>15</v>
      </c>
      <c r="R2" s="92"/>
      <c r="S2" s="92"/>
      <c r="T2" s="92"/>
      <c r="U2" s="92"/>
      <c r="V2" s="92" t="s">
        <v>165</v>
      </c>
      <c r="W2" s="92"/>
      <c r="X2" s="92"/>
      <c r="Y2" s="92"/>
      <c r="Z2" s="92"/>
    </row>
    <row r="3" spans="1:26" ht="42.75" x14ac:dyDescent="0.45">
      <c r="A3" s="4" t="s">
        <v>2</v>
      </c>
      <c r="B3" s="5" t="s">
        <v>20</v>
      </c>
      <c r="C3" s="5" t="s">
        <v>21</v>
      </c>
      <c r="D3" s="5" t="s">
        <v>22</v>
      </c>
      <c r="E3" s="6" t="s">
        <v>23</v>
      </c>
      <c r="F3" s="6" t="s">
        <v>24</v>
      </c>
      <c r="G3" s="5" t="s">
        <v>20</v>
      </c>
      <c r="H3" s="5" t="s">
        <v>21</v>
      </c>
      <c r="I3" s="5" t="s">
        <v>22</v>
      </c>
      <c r="J3" s="6" t="s">
        <v>23</v>
      </c>
      <c r="K3" s="6" t="s">
        <v>24</v>
      </c>
      <c r="L3" s="5" t="s">
        <v>20</v>
      </c>
      <c r="M3" s="5" t="s">
        <v>21</v>
      </c>
      <c r="N3" s="5" t="s">
        <v>22</v>
      </c>
      <c r="O3" s="6" t="s">
        <v>23</v>
      </c>
      <c r="P3" s="6" t="s">
        <v>24</v>
      </c>
      <c r="Q3" s="5" t="s">
        <v>20</v>
      </c>
      <c r="R3" s="5" t="s">
        <v>21</v>
      </c>
      <c r="S3" s="5" t="s">
        <v>22</v>
      </c>
      <c r="T3" s="6" t="s">
        <v>23</v>
      </c>
      <c r="U3" s="6" t="s">
        <v>24</v>
      </c>
      <c r="V3" s="5" t="s">
        <v>20</v>
      </c>
      <c r="W3" s="5" t="s">
        <v>21</v>
      </c>
      <c r="X3" s="5" t="s">
        <v>22</v>
      </c>
      <c r="Y3" s="6" t="s">
        <v>23</v>
      </c>
      <c r="Z3" s="6" t="s">
        <v>24</v>
      </c>
    </row>
    <row r="4" spans="1:26" x14ac:dyDescent="0.45">
      <c r="A4">
        <v>1988</v>
      </c>
      <c r="B4" s="2">
        <v>67.093286000000006</v>
      </c>
      <c r="C4" s="2">
        <v>38.974558000000002</v>
      </c>
      <c r="D4" s="2">
        <f>B4-C4</f>
        <v>28.118728000000004</v>
      </c>
      <c r="E4" s="2">
        <f>C4/B4</f>
        <v>0.58090101593771992</v>
      </c>
      <c r="F4" s="2">
        <f>D4/B4</f>
        <v>0.41909898406228013</v>
      </c>
      <c r="G4" s="2">
        <v>56.281052000000003</v>
      </c>
      <c r="H4" s="2">
        <v>20.969605000000001</v>
      </c>
      <c r="I4" s="2">
        <f>G4-H4</f>
        <v>35.311447000000001</v>
      </c>
      <c r="J4" s="2">
        <f>H4/G4</f>
        <v>0.37258729634264831</v>
      </c>
      <c r="K4" s="2">
        <f>I4/G4</f>
        <v>0.62741270365735169</v>
      </c>
      <c r="L4" s="2">
        <v>35.780444000000003</v>
      </c>
      <c r="M4" s="2">
        <v>20.416696999999999</v>
      </c>
      <c r="N4" s="2">
        <f>L4-M4</f>
        <v>15.363747000000004</v>
      </c>
      <c r="O4" s="2">
        <f>M4/L4</f>
        <v>0.57061049885238979</v>
      </c>
      <c r="P4" s="2">
        <f>N4/L4</f>
        <v>0.42938950114761021</v>
      </c>
      <c r="Q4" s="2"/>
      <c r="R4" s="2"/>
      <c r="S4" s="2"/>
      <c r="T4" s="2"/>
      <c r="U4" s="2"/>
      <c r="V4" s="2">
        <f>B4+G4+L4</f>
        <v>159.15478200000001</v>
      </c>
      <c r="W4" s="2">
        <f>C4+H4+M4</f>
        <v>80.360860000000002</v>
      </c>
      <c r="X4" s="2">
        <f>D4+I4+N4</f>
        <v>78.793922000000009</v>
      </c>
      <c r="Y4" s="2">
        <f>W4/V4</f>
        <v>0.50492268589202682</v>
      </c>
      <c r="Z4" s="2">
        <f>X4/V4</f>
        <v>0.49507731410797323</v>
      </c>
    </row>
    <row r="5" spans="1:26" x14ac:dyDescent="0.45">
      <c r="A5">
        <v>1989</v>
      </c>
      <c r="B5" s="2"/>
      <c r="C5" s="2"/>
      <c r="D5" s="2"/>
      <c r="E5" s="2"/>
      <c r="F5" s="2"/>
      <c r="G5" s="2"/>
      <c r="H5" s="2"/>
      <c r="I5" s="2"/>
      <c r="J5" s="2"/>
      <c r="K5" s="2"/>
      <c r="L5" s="2"/>
      <c r="M5" s="2"/>
      <c r="N5" s="2"/>
      <c r="O5" s="2"/>
      <c r="P5" s="2"/>
      <c r="Q5" s="2"/>
      <c r="R5" s="2"/>
      <c r="S5" s="2"/>
      <c r="T5" s="2"/>
      <c r="U5" s="2"/>
      <c r="Y5" s="2"/>
      <c r="Z5" s="2"/>
    </row>
    <row r="6" spans="1:26" x14ac:dyDescent="0.45">
      <c r="A6">
        <v>1990</v>
      </c>
      <c r="B6" s="2"/>
      <c r="C6" s="2"/>
      <c r="D6" s="2"/>
      <c r="E6" s="2"/>
      <c r="F6" s="2"/>
      <c r="G6" s="2"/>
      <c r="H6" s="2"/>
      <c r="I6" s="2"/>
      <c r="J6" s="2"/>
      <c r="K6" s="2"/>
      <c r="L6" s="2"/>
      <c r="M6" s="2"/>
      <c r="N6" s="2"/>
      <c r="O6" s="2"/>
      <c r="P6" s="2"/>
      <c r="Q6" s="2"/>
      <c r="R6" s="2"/>
      <c r="S6" s="2"/>
      <c r="T6" s="2"/>
      <c r="U6" s="2"/>
      <c r="Y6" s="2"/>
      <c r="Z6" s="2"/>
    </row>
    <row r="7" spans="1:26" x14ac:dyDescent="0.45">
      <c r="A7">
        <v>1991</v>
      </c>
      <c r="B7" s="2">
        <v>94.363224000000002</v>
      </c>
      <c r="C7" s="2">
        <v>63.578068999999999</v>
      </c>
      <c r="D7" s="2">
        <f>B7-C7</f>
        <v>30.785155000000003</v>
      </c>
      <c r="E7" s="2">
        <f>C7/B7</f>
        <v>0.67375897415289665</v>
      </c>
      <c r="F7" s="2">
        <f>D7/B7</f>
        <v>0.32624102584710335</v>
      </c>
      <c r="G7" s="2">
        <v>138.69989899999999</v>
      </c>
      <c r="H7" s="2">
        <v>93.494771</v>
      </c>
      <c r="I7" s="2">
        <f>G7-H7</f>
        <v>45.205127999999988</v>
      </c>
      <c r="J7" s="2">
        <f>H7/G7</f>
        <v>0.67407958963257797</v>
      </c>
      <c r="K7" s="2">
        <f>I7/G7</f>
        <v>0.32592041036742203</v>
      </c>
      <c r="L7" s="2">
        <v>73.533863999999994</v>
      </c>
      <c r="M7" s="2">
        <v>38.685687999999999</v>
      </c>
      <c r="N7" s="2">
        <f>L7-M7</f>
        <v>34.848175999999995</v>
      </c>
      <c r="O7" s="2">
        <f>M7/L7</f>
        <v>0.52609350162803903</v>
      </c>
      <c r="P7" s="2">
        <f>N7/L7</f>
        <v>0.47390649837196097</v>
      </c>
      <c r="Q7" s="2">
        <v>-85.354320999999999</v>
      </c>
      <c r="R7" s="2">
        <v>-223.03274400000001</v>
      </c>
      <c r="S7" s="2">
        <f>Q7-R7</f>
        <v>137.67842300000001</v>
      </c>
      <c r="T7" s="2">
        <f>R7/Q7</f>
        <v>2.6130222979572411</v>
      </c>
      <c r="U7" s="2">
        <f>S7/Q7</f>
        <v>-1.6130222979572413</v>
      </c>
      <c r="V7" s="2">
        <f>B7+G7+L7</f>
        <v>306.59698700000001</v>
      </c>
      <c r="W7" s="2">
        <f>C7+H7+M7</f>
        <v>195.75852799999998</v>
      </c>
      <c r="X7" s="2">
        <f>D7+I7+N7</f>
        <v>110.83845899999999</v>
      </c>
      <c r="Y7" s="2">
        <f>W7/V7</f>
        <v>0.63848810099363429</v>
      </c>
      <c r="Z7" s="2">
        <f>X7/V7</f>
        <v>0.3615118990063656</v>
      </c>
    </row>
    <row r="8" spans="1:26" x14ac:dyDescent="0.45">
      <c r="A8">
        <v>1992</v>
      </c>
      <c r="B8" s="2"/>
      <c r="C8" s="2"/>
      <c r="D8" s="2"/>
      <c r="E8" s="2"/>
      <c r="F8" s="2"/>
      <c r="G8" s="2"/>
      <c r="H8" s="2"/>
      <c r="I8" s="2"/>
      <c r="J8" s="2"/>
      <c r="K8" s="2"/>
      <c r="L8" s="2"/>
      <c r="M8" s="2"/>
      <c r="N8" s="2"/>
      <c r="O8" s="2"/>
      <c r="P8" s="2"/>
      <c r="Q8" s="2"/>
      <c r="R8" s="2"/>
      <c r="S8" s="2"/>
      <c r="T8" s="2"/>
      <c r="U8" s="2"/>
      <c r="Y8" s="2"/>
      <c r="Z8" s="2"/>
    </row>
    <row r="9" spans="1:26" x14ac:dyDescent="0.45">
      <c r="A9">
        <v>1993</v>
      </c>
      <c r="B9" s="2"/>
      <c r="C9" s="2"/>
      <c r="D9" s="2"/>
      <c r="E9" s="2"/>
      <c r="F9" s="2"/>
      <c r="G9" s="2"/>
      <c r="H9" s="2"/>
      <c r="I9" s="2"/>
      <c r="J9" s="2"/>
      <c r="K9" s="2"/>
      <c r="L9" s="2"/>
      <c r="M9" s="2"/>
      <c r="N9" s="2"/>
      <c r="O9" s="2"/>
      <c r="P9" s="2"/>
      <c r="Q9" s="2"/>
      <c r="R9" s="2"/>
      <c r="S9" s="2"/>
      <c r="T9" s="2"/>
      <c r="U9" s="2"/>
      <c r="Y9" s="2"/>
      <c r="Z9" s="2"/>
    </row>
    <row r="10" spans="1:26" x14ac:dyDescent="0.45">
      <c r="A10">
        <v>1994</v>
      </c>
      <c r="B10" s="2">
        <v>5.4358449999999996</v>
      </c>
      <c r="C10" s="2">
        <v>-27.967763000000001</v>
      </c>
      <c r="D10" s="2">
        <f>B10-C10</f>
        <v>33.403607999999998</v>
      </c>
      <c r="E10" s="2">
        <f>C10/B10</f>
        <v>-5.14506263515608</v>
      </c>
      <c r="F10" s="2">
        <f>D10/B10</f>
        <v>6.14506263515608</v>
      </c>
      <c r="G10" s="2">
        <v>500.59335499999997</v>
      </c>
      <c r="H10" s="2">
        <v>460.70797099999999</v>
      </c>
      <c r="I10" s="2">
        <f>G10-H10</f>
        <v>39.885383999999988</v>
      </c>
      <c r="J10" s="2">
        <f>H10/G10</f>
        <v>0.92032378456162289</v>
      </c>
      <c r="K10" s="2">
        <f>I10/G10</f>
        <v>7.9676215438377107E-2</v>
      </c>
      <c r="L10" s="2">
        <v>118.065382</v>
      </c>
      <c r="M10" s="2">
        <v>87.216652999999994</v>
      </c>
      <c r="N10" s="2">
        <f>L10-M10</f>
        <v>30.848729000000006</v>
      </c>
      <c r="O10" s="2">
        <f>M10/L10</f>
        <v>0.73871486732664782</v>
      </c>
      <c r="P10" s="2">
        <f>N10/L10</f>
        <v>0.26128513267335218</v>
      </c>
      <c r="Q10" s="2">
        <v>-244.41757100000001</v>
      </c>
      <c r="R10" s="2">
        <v>-361.02078499999999</v>
      </c>
      <c r="S10" s="2">
        <f>Q10-R10</f>
        <v>116.60321399999998</v>
      </c>
      <c r="T10" s="2">
        <f>R10/Q10</f>
        <v>1.4770655952554246</v>
      </c>
      <c r="U10" s="2">
        <f>S10/Q10</f>
        <v>-0.47706559525542447</v>
      </c>
      <c r="V10" s="2">
        <f>B10+G10+L10</f>
        <v>624.09458199999995</v>
      </c>
      <c r="W10" s="2">
        <f>C10+H10+M10</f>
        <v>519.956861</v>
      </c>
      <c r="X10" s="2">
        <f>D10+I10+N10</f>
        <v>104.13772099999998</v>
      </c>
      <c r="Y10" s="2">
        <f>W10/V10</f>
        <v>0.8331379185086405</v>
      </c>
      <c r="Z10" s="2">
        <f>X10/V10</f>
        <v>0.16686208149135959</v>
      </c>
    </row>
    <row r="11" spans="1:26" x14ac:dyDescent="0.45">
      <c r="A11">
        <v>1995</v>
      </c>
      <c r="B11" s="2"/>
      <c r="C11" s="2"/>
      <c r="D11" s="2"/>
      <c r="E11" s="2"/>
      <c r="F11" s="2"/>
      <c r="G11" s="2"/>
      <c r="H11" s="2"/>
      <c r="I11" s="2"/>
      <c r="J11" s="2"/>
      <c r="K11" s="2"/>
      <c r="L11" s="2"/>
      <c r="M11" s="2"/>
      <c r="N11" s="2"/>
      <c r="O11" s="2"/>
      <c r="P11" s="2"/>
      <c r="Q11" s="2"/>
      <c r="R11" s="2"/>
      <c r="S11" s="2"/>
      <c r="T11" s="2"/>
      <c r="U11" s="2"/>
      <c r="Y11" s="2"/>
      <c r="Z11" s="2"/>
    </row>
    <row r="12" spans="1:26" x14ac:dyDescent="0.45">
      <c r="A12">
        <v>1996</v>
      </c>
      <c r="B12" s="2"/>
      <c r="C12" s="2"/>
      <c r="D12" s="2"/>
      <c r="E12" s="2"/>
      <c r="F12" s="2"/>
      <c r="G12" s="2"/>
      <c r="H12" s="2"/>
      <c r="I12" s="2"/>
      <c r="J12" s="2"/>
      <c r="K12" s="2"/>
      <c r="L12" s="2"/>
      <c r="M12" s="2"/>
      <c r="N12" s="2"/>
      <c r="O12" s="2"/>
      <c r="P12" s="2"/>
      <c r="Q12" s="2"/>
      <c r="R12" s="2"/>
      <c r="S12" s="2"/>
      <c r="T12" s="2"/>
      <c r="U12" s="2"/>
      <c r="Y12" s="2"/>
      <c r="Z12" s="2"/>
    </row>
    <row r="13" spans="1:26" x14ac:dyDescent="0.45">
      <c r="A13">
        <v>1997</v>
      </c>
      <c r="B13" s="2">
        <v>122.91153300000001</v>
      </c>
      <c r="C13" s="2">
        <v>87.003601000000003</v>
      </c>
      <c r="D13" s="2">
        <f>B13-C13</f>
        <v>35.907932000000002</v>
      </c>
      <c r="E13" s="2">
        <f>C13/B13</f>
        <v>0.70785547032433482</v>
      </c>
      <c r="F13" s="2">
        <f>D13/B13</f>
        <v>0.29214452967566518</v>
      </c>
      <c r="G13" s="2">
        <v>99.052751999999998</v>
      </c>
      <c r="H13" s="2">
        <v>29.950213999999999</v>
      </c>
      <c r="I13" s="2">
        <f>G13-H13</f>
        <v>69.102537999999996</v>
      </c>
      <c r="J13" s="2">
        <f>H13/G13</f>
        <v>0.30236629871727339</v>
      </c>
      <c r="K13" s="2">
        <f>I13/G13</f>
        <v>0.69763370128272661</v>
      </c>
      <c r="L13" s="2">
        <v>163.987067</v>
      </c>
      <c r="M13" s="2">
        <v>126.883105</v>
      </c>
      <c r="N13" s="2">
        <f>L13-M13</f>
        <v>37.103961999999996</v>
      </c>
      <c r="O13" s="2">
        <f>M13/L13</f>
        <v>0.77373848634051123</v>
      </c>
      <c r="P13" s="2">
        <f>N13/L13</f>
        <v>0.22626151365948874</v>
      </c>
      <c r="Q13" s="2">
        <v>-339.63615099999998</v>
      </c>
      <c r="R13" s="2">
        <v>-472.60985479999999</v>
      </c>
      <c r="S13" s="2">
        <f>Q13-R13</f>
        <v>132.97370380000001</v>
      </c>
      <c r="T13" s="2">
        <f>R13/Q13</f>
        <v>1.3915181096254974</v>
      </c>
      <c r="U13" s="2">
        <f>S13/Q13</f>
        <v>-0.39151810962549749</v>
      </c>
      <c r="V13" s="2">
        <f>B13+G13+L13</f>
        <v>385.95135200000004</v>
      </c>
      <c r="W13" s="2">
        <f>C13+H13+M13</f>
        <v>243.83692000000002</v>
      </c>
      <c r="X13" s="2">
        <f>D13+I13+N13</f>
        <v>142.11443199999999</v>
      </c>
      <c r="Y13" s="2">
        <f>W13/V13</f>
        <v>0.63178148939351297</v>
      </c>
      <c r="Z13" s="2">
        <f>X13/V13</f>
        <v>0.36821851060648697</v>
      </c>
    </row>
    <row r="14" spans="1:26" x14ac:dyDescent="0.45">
      <c r="A14">
        <v>1998</v>
      </c>
      <c r="B14" s="2"/>
      <c r="C14" s="2"/>
      <c r="D14" s="2"/>
      <c r="E14" s="2"/>
      <c r="F14" s="2"/>
      <c r="G14" s="2"/>
      <c r="H14" s="2"/>
      <c r="I14" s="2"/>
      <c r="J14" s="2"/>
      <c r="K14" s="2"/>
      <c r="L14" s="2"/>
      <c r="M14" s="2"/>
      <c r="N14" s="2"/>
      <c r="O14" s="2"/>
      <c r="P14" s="2"/>
      <c r="Q14" s="2"/>
      <c r="R14" s="2"/>
      <c r="S14" s="2"/>
      <c r="T14" s="2"/>
      <c r="U14" s="2"/>
      <c r="Y14" s="2"/>
      <c r="Z14" s="2"/>
    </row>
    <row r="15" spans="1:26" x14ac:dyDescent="0.45">
      <c r="A15">
        <v>1999</v>
      </c>
      <c r="B15" s="2"/>
      <c r="C15" s="2"/>
      <c r="D15" s="2"/>
      <c r="E15" s="2"/>
      <c r="F15" s="2"/>
      <c r="G15" s="2"/>
      <c r="H15" s="2"/>
      <c r="I15" s="2"/>
      <c r="J15" s="2"/>
      <c r="K15" s="2"/>
      <c r="L15" s="2"/>
      <c r="M15" s="2"/>
      <c r="N15" s="2"/>
      <c r="O15" s="2"/>
      <c r="P15" s="2"/>
      <c r="Q15" s="2"/>
      <c r="R15" s="2"/>
      <c r="S15" s="2"/>
      <c r="T15" s="2"/>
      <c r="U15" s="2"/>
      <c r="Y15" s="2"/>
      <c r="Z15" s="2"/>
    </row>
    <row r="16" spans="1:26" x14ac:dyDescent="0.45">
      <c r="A16">
        <v>2000</v>
      </c>
      <c r="B16" s="2">
        <v>168.09442000000001</v>
      </c>
      <c r="C16" s="2">
        <v>125.61965499999999</v>
      </c>
      <c r="D16" s="2">
        <f>B16-C16</f>
        <v>42.474765000000019</v>
      </c>
      <c r="E16" s="2">
        <f>C16/B16</f>
        <v>0.74731603226329568</v>
      </c>
      <c r="F16" s="2">
        <f>D16/B16</f>
        <v>0.25268396773670426</v>
      </c>
      <c r="G16" s="2">
        <v>261.034333</v>
      </c>
      <c r="H16" s="2">
        <v>145.231223</v>
      </c>
      <c r="I16" s="2">
        <f>G16-H16</f>
        <v>115.80311</v>
      </c>
      <c r="J16" s="2">
        <f>H16/G16</f>
        <v>0.55636828048975462</v>
      </c>
      <c r="K16" s="2">
        <f>I16/G16</f>
        <v>0.44363171951024544</v>
      </c>
      <c r="L16" s="2">
        <v>206.06464500000001</v>
      </c>
      <c r="M16" s="2">
        <v>159.911214</v>
      </c>
      <c r="N16" s="2">
        <f>L16-M16</f>
        <v>46.153431000000012</v>
      </c>
      <c r="O16" s="2">
        <f>M16/L16</f>
        <v>0.77602450434910841</v>
      </c>
      <c r="P16" s="2">
        <f>N16/L16</f>
        <v>0.22397549565089153</v>
      </c>
      <c r="Q16" s="2">
        <v>-57.001857999999999</v>
      </c>
      <c r="R16" s="2">
        <v>-381.98739399999999</v>
      </c>
      <c r="S16" s="2">
        <f>Q16-R16</f>
        <v>324.98553600000002</v>
      </c>
      <c r="T16" s="2">
        <f>R16/Q16</f>
        <v>6.7013147887214481</v>
      </c>
      <c r="U16" s="2">
        <f>S16/Q16</f>
        <v>-5.701314788721449</v>
      </c>
      <c r="V16" s="2">
        <f>B16+G16+L16</f>
        <v>635.193398</v>
      </c>
      <c r="W16" s="2">
        <f>C16+H16+M16</f>
        <v>430.76209199999994</v>
      </c>
      <c r="X16" s="2">
        <f>D16+I16+N16</f>
        <v>204.43130600000003</v>
      </c>
      <c r="Y16" s="2">
        <f>W16/V16</f>
        <v>0.67815895655766867</v>
      </c>
      <c r="Z16" s="2">
        <f>X16/V16</f>
        <v>0.32184104344233128</v>
      </c>
    </row>
    <row r="17" spans="1:26" x14ac:dyDescent="0.45">
      <c r="A17">
        <v>2001</v>
      </c>
      <c r="B17" s="2"/>
      <c r="C17" s="2"/>
      <c r="D17" s="2"/>
      <c r="E17" s="2"/>
      <c r="F17" s="2"/>
      <c r="G17" s="2"/>
      <c r="H17" s="2"/>
      <c r="I17" s="2"/>
      <c r="J17" s="2"/>
      <c r="K17" s="2"/>
      <c r="L17" s="2"/>
      <c r="M17" s="2"/>
      <c r="N17" s="2"/>
      <c r="O17" s="2"/>
      <c r="P17" s="2"/>
      <c r="Q17" s="2"/>
      <c r="R17" s="2"/>
      <c r="S17" s="2"/>
      <c r="T17" s="2"/>
      <c r="U17" s="2"/>
      <c r="Y17" s="2"/>
      <c r="Z17" s="2"/>
    </row>
    <row r="18" spans="1:26" x14ac:dyDescent="0.45">
      <c r="A18">
        <v>2002</v>
      </c>
      <c r="B18" s="2"/>
      <c r="C18" s="2"/>
      <c r="D18" s="2"/>
      <c r="E18" s="2"/>
      <c r="F18" s="2"/>
      <c r="G18" s="2"/>
      <c r="H18" s="2"/>
      <c r="I18" s="2"/>
      <c r="J18" s="2"/>
      <c r="K18" s="2"/>
      <c r="L18" s="2"/>
      <c r="M18" s="2"/>
      <c r="N18" s="2"/>
      <c r="O18" s="2"/>
      <c r="P18" s="2"/>
      <c r="Q18" s="2"/>
      <c r="R18" s="2"/>
      <c r="S18" s="2"/>
      <c r="T18" s="2"/>
      <c r="U18" s="2"/>
      <c r="Y18" s="2"/>
      <c r="Z18" s="2"/>
    </row>
    <row r="19" spans="1:26" x14ac:dyDescent="0.45">
      <c r="A19">
        <v>2003</v>
      </c>
      <c r="B19" s="2">
        <v>59.058391999999998</v>
      </c>
      <c r="C19" s="2">
        <v>3.1863290000000002</v>
      </c>
      <c r="D19" s="2">
        <f>B19-C19</f>
        <v>55.872062999999997</v>
      </c>
      <c r="E19" s="2">
        <f>C19/B19</f>
        <v>5.3952180072901416E-2</v>
      </c>
      <c r="F19" s="2">
        <f>D19/B19</f>
        <v>0.94604781992709863</v>
      </c>
      <c r="G19" s="2">
        <v>370.44708800000001</v>
      </c>
      <c r="H19" s="2">
        <v>250.33426700000001</v>
      </c>
      <c r="I19" s="2">
        <f>G19-H19</f>
        <v>120.112821</v>
      </c>
      <c r="J19" s="2">
        <f>H19/G19</f>
        <v>0.67576254506824474</v>
      </c>
      <c r="K19" s="2">
        <f>I19/G19</f>
        <v>0.32423745493175532</v>
      </c>
      <c r="L19" s="2">
        <v>355.15174200000001</v>
      </c>
      <c r="M19" s="2">
        <v>304.410213</v>
      </c>
      <c r="N19" s="2">
        <f>L19-M19</f>
        <v>50.741529000000014</v>
      </c>
      <c r="O19" s="2">
        <f>M19/L19</f>
        <v>0.85712718537080967</v>
      </c>
      <c r="P19" s="2">
        <f>N19/L19</f>
        <v>0.14287281462919027</v>
      </c>
      <c r="Q19" s="2">
        <v>-267.37407999999999</v>
      </c>
      <c r="R19" s="2">
        <v>-566.11539600000003</v>
      </c>
      <c r="S19" s="2">
        <f>Q19-R19</f>
        <v>298.74131600000004</v>
      </c>
      <c r="T19" s="2">
        <f>R19/Q19</f>
        <v>2.1173159193292035</v>
      </c>
      <c r="U19" s="2">
        <f>S19/Q19</f>
        <v>-1.1173159193292037</v>
      </c>
      <c r="V19" s="2">
        <f>B19+G19+L19</f>
        <v>784.65722200000005</v>
      </c>
      <c r="W19" s="2">
        <f>C19+H19+M19</f>
        <v>557.93080899999995</v>
      </c>
      <c r="X19" s="2">
        <f>D19+I19+N19</f>
        <v>226.72641300000001</v>
      </c>
      <c r="Y19" s="2">
        <f>W19/V19</f>
        <v>0.71105037124095938</v>
      </c>
      <c r="Z19" s="2">
        <f>X19/V19</f>
        <v>0.28894962875904046</v>
      </c>
    </row>
    <row r="20" spans="1:26" x14ac:dyDescent="0.45">
      <c r="A20">
        <v>2004</v>
      </c>
      <c r="B20" s="2"/>
      <c r="C20" s="2"/>
      <c r="D20" s="2"/>
      <c r="E20" s="2"/>
      <c r="F20" s="2"/>
      <c r="G20" s="2"/>
      <c r="H20" s="2"/>
      <c r="I20" s="2"/>
      <c r="J20" s="2"/>
      <c r="K20" s="2"/>
      <c r="L20" s="2"/>
      <c r="M20" s="2"/>
      <c r="N20" s="2"/>
      <c r="O20" s="2"/>
      <c r="P20" s="2"/>
      <c r="Q20" s="2"/>
      <c r="R20" s="2"/>
      <c r="S20" s="2"/>
      <c r="T20" s="2"/>
      <c r="U20" s="2"/>
      <c r="Y20" s="2"/>
      <c r="Z20" s="2"/>
    </row>
    <row r="21" spans="1:26" x14ac:dyDescent="0.45">
      <c r="A21">
        <v>2005</v>
      </c>
      <c r="B21" s="2"/>
      <c r="C21" s="2"/>
      <c r="D21" s="2"/>
      <c r="E21" s="2"/>
      <c r="F21" s="2"/>
      <c r="G21" s="2"/>
      <c r="H21" s="2"/>
      <c r="I21" s="2"/>
      <c r="J21" s="2"/>
      <c r="K21" s="2"/>
      <c r="L21" s="2"/>
      <c r="M21" s="2"/>
      <c r="N21" s="2"/>
      <c r="O21" s="2"/>
      <c r="P21" s="2"/>
      <c r="Q21" s="2"/>
      <c r="R21" s="2"/>
      <c r="S21" s="2"/>
      <c r="T21" s="2"/>
      <c r="U21" s="2"/>
      <c r="Y21" s="2"/>
      <c r="Z21" s="2"/>
    </row>
    <row r="22" spans="1:26" x14ac:dyDescent="0.45">
      <c r="A22">
        <v>2006</v>
      </c>
      <c r="B22" s="2">
        <v>91.664974999999998</v>
      </c>
      <c r="C22" s="2">
        <v>26.451780999999901</v>
      </c>
      <c r="D22" s="2">
        <f>B22-C22</f>
        <v>65.213194000000101</v>
      </c>
      <c r="E22" s="2">
        <f>C22/B22</f>
        <v>0.28857020906840264</v>
      </c>
      <c r="F22" s="2">
        <f>D22/B22</f>
        <v>0.71142979093159742</v>
      </c>
      <c r="G22" s="2">
        <v>724.61758299999997</v>
      </c>
      <c r="H22" s="2">
        <v>599.25189399999999</v>
      </c>
      <c r="I22" s="2">
        <f>G22-H22</f>
        <v>125.36568899999997</v>
      </c>
      <c r="J22" s="2">
        <f>H22/G22</f>
        <v>0.82699055068333893</v>
      </c>
      <c r="K22" s="2">
        <f>I22/G22</f>
        <v>0.17300944931666112</v>
      </c>
      <c r="L22" s="2">
        <v>279.34688199999999</v>
      </c>
      <c r="M22" s="2">
        <v>215.66592700000001</v>
      </c>
      <c r="N22" s="2">
        <f>L22-M22</f>
        <v>63.680954999999983</v>
      </c>
      <c r="O22" s="2">
        <f>M22/L22</f>
        <v>0.77203627782034812</v>
      </c>
      <c r="P22" s="2">
        <f>N22/L22</f>
        <v>0.22796372217965183</v>
      </c>
      <c r="Q22" s="2">
        <v>-859.86672199999998</v>
      </c>
      <c r="R22" s="2">
        <v>-1061.747429</v>
      </c>
      <c r="S22" s="2">
        <f>Q22-R22</f>
        <v>201.88070700000003</v>
      </c>
      <c r="T22" s="2">
        <f>R22/Q22</f>
        <v>1.2347813932494529</v>
      </c>
      <c r="U22" s="2">
        <f>S22/Q22</f>
        <v>-0.23478139324945294</v>
      </c>
      <c r="V22" s="2">
        <f>B22+G22+L22</f>
        <v>1095.6294399999999</v>
      </c>
      <c r="W22" s="2">
        <f>C22+H22+M22</f>
        <v>841.36960199999987</v>
      </c>
      <c r="X22" s="2">
        <f>D22+I22+N22</f>
        <v>254.25983800000006</v>
      </c>
      <c r="Y22" s="2">
        <f>W22/V22</f>
        <v>0.76793263423078506</v>
      </c>
      <c r="Z22" s="2">
        <f>X22/V22</f>
        <v>0.23206736576921488</v>
      </c>
    </row>
    <row r="23" spans="1:26" x14ac:dyDescent="0.45">
      <c r="A23">
        <v>2007</v>
      </c>
      <c r="B23" s="2"/>
      <c r="C23" s="2"/>
      <c r="D23" s="2"/>
      <c r="E23" s="2"/>
      <c r="F23" s="2"/>
      <c r="G23" s="2"/>
      <c r="H23" s="2"/>
      <c r="I23" s="2"/>
      <c r="J23" s="2"/>
      <c r="K23" s="2"/>
      <c r="L23" s="2"/>
      <c r="M23" s="2"/>
      <c r="N23" s="2"/>
      <c r="O23" s="2"/>
      <c r="P23" s="2"/>
      <c r="Q23" s="2"/>
      <c r="R23" s="2"/>
      <c r="S23" s="2"/>
      <c r="T23" s="2"/>
      <c r="U23" s="2"/>
      <c r="Y23" s="2"/>
      <c r="Z23" s="2"/>
    </row>
    <row r="24" spans="1:26" x14ac:dyDescent="0.45">
      <c r="A24">
        <v>2008</v>
      </c>
      <c r="B24" s="2"/>
      <c r="C24" s="2"/>
      <c r="D24" s="2"/>
      <c r="E24" s="2"/>
      <c r="F24" s="2"/>
      <c r="G24" s="2"/>
      <c r="H24" s="2"/>
      <c r="I24" s="2"/>
      <c r="J24" s="2"/>
      <c r="K24" s="2"/>
      <c r="L24" s="2"/>
      <c r="M24" s="2"/>
      <c r="N24" s="2"/>
      <c r="O24" s="2"/>
      <c r="P24" s="2"/>
      <c r="Q24" s="2"/>
      <c r="R24" s="2"/>
      <c r="S24" s="2"/>
      <c r="T24" s="2"/>
      <c r="U24" s="2"/>
      <c r="Y24" s="2"/>
      <c r="Z24" s="2"/>
    </row>
    <row r="25" spans="1:26" x14ac:dyDescent="0.45">
      <c r="A25">
        <v>2009</v>
      </c>
      <c r="B25" s="2">
        <v>55.717441999999998</v>
      </c>
      <c r="C25" s="2">
        <v>-21.26078</v>
      </c>
      <c r="D25" s="2">
        <f>B25-C25</f>
        <v>76.978222000000002</v>
      </c>
      <c r="E25" s="2">
        <f>C25/B25</f>
        <v>-0.38158212647307105</v>
      </c>
      <c r="F25" s="2">
        <f>D25/B25</f>
        <v>1.3815821264730712</v>
      </c>
      <c r="G25" s="2">
        <v>435.594491</v>
      </c>
      <c r="H25" s="2">
        <v>152.37883500000001</v>
      </c>
      <c r="I25" s="2">
        <f>G25-H25</f>
        <v>283.21565599999997</v>
      </c>
      <c r="J25" s="2">
        <f>H25/G25</f>
        <v>0.34981809492168259</v>
      </c>
      <c r="K25" s="2">
        <f>I25/G25</f>
        <v>0.6501819050783173</v>
      </c>
      <c r="L25" s="2">
        <v>258.944997</v>
      </c>
      <c r="M25" s="2">
        <v>176.97339400000001</v>
      </c>
      <c r="N25" s="2">
        <f>L25-M25</f>
        <v>81.971602999999988</v>
      </c>
      <c r="O25" s="2">
        <f>M25/L25</f>
        <v>0.6834400975122914</v>
      </c>
      <c r="P25" s="2">
        <f>N25/L25</f>
        <v>0.31655990248770854</v>
      </c>
      <c r="Q25" s="2">
        <v>-236.88117199999999</v>
      </c>
      <c r="R25" s="2">
        <v>-765.78484630000003</v>
      </c>
      <c r="S25" s="2">
        <f>Q25-R25</f>
        <v>528.90367430000003</v>
      </c>
      <c r="T25" s="2">
        <f>R25/Q25</f>
        <v>3.2327805533653811</v>
      </c>
      <c r="U25" s="2">
        <f>S25/Q25</f>
        <v>-2.2327805533653811</v>
      </c>
      <c r="V25" s="2">
        <f>B25+G25+L25</f>
        <v>750.25693000000001</v>
      </c>
      <c r="W25" s="2">
        <f>C25+H25+M25</f>
        <v>308.09144900000001</v>
      </c>
      <c r="X25" s="2">
        <f>D25+I25+N25</f>
        <v>442.165481</v>
      </c>
      <c r="Y25" s="2">
        <f>W25/V25</f>
        <v>0.41064792163932429</v>
      </c>
      <c r="Z25" s="2">
        <f>X25/V25</f>
        <v>0.58935207836067571</v>
      </c>
    </row>
    <row r="26" spans="1:26" x14ac:dyDescent="0.45">
      <c r="A26">
        <v>2010</v>
      </c>
      <c r="B26" s="2"/>
      <c r="C26" s="2"/>
      <c r="D26" s="2"/>
      <c r="E26" s="2"/>
      <c r="F26" s="2"/>
      <c r="G26" s="2"/>
      <c r="H26" s="2"/>
      <c r="I26" s="2"/>
      <c r="J26" s="2"/>
      <c r="K26" s="2"/>
      <c r="L26" s="2"/>
      <c r="M26" s="2"/>
      <c r="N26" s="2"/>
      <c r="O26" s="2"/>
      <c r="P26" s="2"/>
      <c r="Q26" s="2"/>
      <c r="R26" s="2"/>
      <c r="S26" s="2"/>
      <c r="T26" s="2"/>
      <c r="U26" s="2"/>
      <c r="Y26" s="2"/>
      <c r="Z26" s="2"/>
    </row>
    <row r="27" spans="1:26" x14ac:dyDescent="0.45">
      <c r="A27">
        <v>2011</v>
      </c>
      <c r="B27" s="2"/>
      <c r="C27" s="2"/>
      <c r="D27" s="2"/>
      <c r="E27" s="2"/>
      <c r="F27" s="2"/>
      <c r="G27" s="2"/>
      <c r="H27" s="2"/>
      <c r="I27" s="2"/>
      <c r="J27" s="2"/>
      <c r="K27" s="2"/>
      <c r="L27" s="2"/>
      <c r="M27" s="2"/>
      <c r="N27" s="2"/>
      <c r="O27" s="2"/>
      <c r="P27" s="2"/>
      <c r="Q27" s="2"/>
      <c r="R27" s="2"/>
      <c r="S27" s="2"/>
      <c r="T27" s="2"/>
      <c r="U27" s="2"/>
      <c r="Y27" s="2"/>
      <c r="Z27" s="2"/>
    </row>
    <row r="28" spans="1:26" x14ac:dyDescent="0.45">
      <c r="A28">
        <v>2012</v>
      </c>
      <c r="B28" s="2">
        <v>-28.223324000000002</v>
      </c>
      <c r="C28" s="2">
        <v>-101.229339</v>
      </c>
      <c r="D28" s="2">
        <f>B28-C28</f>
        <v>73.006014999999991</v>
      </c>
      <c r="E28" s="2">
        <f>C28/B28</f>
        <v>3.5867263189835468</v>
      </c>
      <c r="F28" s="2">
        <f>D28/B28</f>
        <v>-2.5867263189835468</v>
      </c>
      <c r="G28" s="2">
        <v>205.509953</v>
      </c>
      <c r="H28" s="2">
        <v>-0.43548499999997198</v>
      </c>
      <c r="I28" s="2">
        <f>G28-H28</f>
        <v>205.94543799999997</v>
      </c>
      <c r="J28" s="2">
        <f>H28/G28</f>
        <v>-2.1190457865560017E-3</v>
      </c>
      <c r="K28" s="2">
        <f>I28/G28</f>
        <v>1.0021190457865561</v>
      </c>
      <c r="L28" s="2">
        <v>41.062472999999997</v>
      </c>
      <c r="M28" s="2">
        <v>-21.55959</v>
      </c>
      <c r="N28" s="2">
        <f>L28-M28</f>
        <v>62.622062999999997</v>
      </c>
      <c r="O28" s="2">
        <f>M28/L28</f>
        <v>-0.52504363290540246</v>
      </c>
      <c r="P28" s="2">
        <f>N28/L28</f>
        <v>1.5250436329054025</v>
      </c>
      <c r="Q28" s="2">
        <v>-747.35814300000004</v>
      </c>
      <c r="R28" s="2">
        <v>-1034.274388</v>
      </c>
      <c r="S28" s="2">
        <f>Q28-R28</f>
        <v>286.916245</v>
      </c>
      <c r="T28" s="2">
        <f>R28/Q28</f>
        <v>1.3839072975752671</v>
      </c>
      <c r="U28" s="2">
        <f>S28/Q28</f>
        <v>-0.38390729757526704</v>
      </c>
      <c r="V28" s="2">
        <f>B28+G28+L28</f>
        <v>218.34910200000002</v>
      </c>
      <c r="W28" s="2">
        <f>C28+H28+M28</f>
        <v>-123.22441399999997</v>
      </c>
      <c r="X28" s="2">
        <f>D28+I28+N28</f>
        <v>341.57351599999993</v>
      </c>
      <c r="Y28" s="2">
        <f>W28/V28</f>
        <v>-0.56434587031184569</v>
      </c>
      <c r="Z28" s="2">
        <f>X28/V28</f>
        <v>1.5643458703118454</v>
      </c>
    </row>
    <row r="29" spans="1:26" x14ac:dyDescent="0.45">
      <c r="A29">
        <v>2013</v>
      </c>
      <c r="B29" s="2"/>
      <c r="C29" s="2"/>
      <c r="D29" s="2"/>
      <c r="E29" s="2"/>
      <c r="F29" s="2"/>
      <c r="G29" s="2"/>
      <c r="H29" s="2"/>
      <c r="I29" s="2"/>
      <c r="J29" s="2"/>
      <c r="K29" s="2"/>
      <c r="L29" s="2"/>
      <c r="M29" s="2"/>
      <c r="N29" s="2"/>
      <c r="O29" s="2"/>
      <c r="P29" s="2"/>
      <c r="Q29" s="2"/>
      <c r="R29" s="2"/>
      <c r="S29" s="2"/>
      <c r="T29" s="2"/>
      <c r="U29" s="2"/>
      <c r="Y29" s="2"/>
      <c r="Z29" s="2"/>
    </row>
    <row r="30" spans="1:26" x14ac:dyDescent="0.45">
      <c r="A30">
        <v>2014</v>
      </c>
      <c r="B30" s="2"/>
      <c r="C30" s="2"/>
      <c r="D30" s="2"/>
      <c r="E30" s="2"/>
      <c r="F30" s="2"/>
      <c r="G30" s="2"/>
      <c r="H30" s="2"/>
      <c r="I30" s="2"/>
      <c r="J30" s="2"/>
      <c r="K30" s="2"/>
      <c r="L30" s="2"/>
      <c r="M30" s="2"/>
      <c r="N30" s="2"/>
      <c r="O30" s="2"/>
      <c r="P30" s="2"/>
      <c r="Q30" s="2"/>
      <c r="R30" s="2"/>
      <c r="S30" s="2"/>
      <c r="T30" s="2"/>
      <c r="U30" s="2"/>
      <c r="Y30" s="2"/>
      <c r="Z30" s="2"/>
    </row>
    <row r="31" spans="1:26" x14ac:dyDescent="0.45">
      <c r="A31">
        <v>2015</v>
      </c>
      <c r="B31" s="2">
        <v>-33.743153999999997</v>
      </c>
      <c r="C31" s="2">
        <v>-118.227999</v>
      </c>
      <c r="D31" s="2">
        <f>B31-C31</f>
        <v>84.484845000000007</v>
      </c>
      <c r="E31" s="2">
        <f>C31/B31</f>
        <v>3.5037625409883146</v>
      </c>
      <c r="F31" s="2">
        <f>D31/B31</f>
        <v>-2.5037625409883146</v>
      </c>
      <c r="G31" s="2">
        <v>1251.6949999999999</v>
      </c>
      <c r="H31" s="2">
        <v>1265.93</v>
      </c>
      <c r="I31" s="2">
        <f>G31-H31</f>
        <v>-14.235000000000127</v>
      </c>
      <c r="J31" s="2">
        <f>H31/G31</f>
        <v>1.0113725787831702</v>
      </c>
      <c r="K31" s="2">
        <f>I31/G31</f>
        <v>-1.1372578783170124E-2</v>
      </c>
      <c r="L31" s="2"/>
      <c r="M31" s="2"/>
      <c r="N31" s="2"/>
      <c r="O31" s="2"/>
      <c r="P31" s="2"/>
      <c r="Q31" s="2"/>
      <c r="R31" s="2"/>
      <c r="S31" s="2"/>
      <c r="T31" s="2"/>
      <c r="U31" s="2"/>
      <c r="V31" s="2"/>
      <c r="W31" s="2"/>
      <c r="X31" s="2"/>
      <c r="Y31" s="2"/>
      <c r="Z31" s="2"/>
    </row>
    <row r="33" spans="1:1" x14ac:dyDescent="0.45">
      <c r="A33" t="s">
        <v>25</v>
      </c>
    </row>
  </sheetData>
  <mergeCells count="6">
    <mergeCell ref="V2:Z2"/>
    <mergeCell ref="B1:U1"/>
    <mergeCell ref="B2:F2"/>
    <mergeCell ref="G2:K2"/>
    <mergeCell ref="L2:P2"/>
    <mergeCell ref="Q2:U2"/>
  </mergeCells>
  <pageMargins left="0.7" right="0.7" top="0.75" bottom="0.75" header="0.51180555555555496" footer="0.51180555555555496"/>
  <pageSetup scale="38" firstPageNumber="0"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34"/>
  <sheetViews>
    <sheetView workbookViewId="0">
      <selection activeCell="B32" sqref="B32"/>
    </sheetView>
  </sheetViews>
  <sheetFormatPr defaultRowHeight="14.25" x14ac:dyDescent="0.45"/>
  <cols>
    <col min="2" max="3" width="9.1328125" bestFit="1" customWidth="1"/>
    <col min="4" max="4" width="10.59765625" bestFit="1" customWidth="1"/>
    <col min="5" max="5" width="9.1328125" bestFit="1" customWidth="1"/>
    <col min="6" max="6" width="9.59765625" bestFit="1" customWidth="1"/>
    <col min="7" max="7" width="10.59765625" bestFit="1" customWidth="1"/>
    <col min="8" max="8" width="9.59765625" bestFit="1" customWidth="1"/>
    <col min="9" max="10" width="9.1328125" bestFit="1" customWidth="1"/>
    <col min="11" max="11" width="10.59765625" bestFit="1" customWidth="1"/>
    <col min="12" max="13" width="9.59765625" bestFit="1" customWidth="1"/>
    <col min="14" max="14" width="10.1328125" bestFit="1" customWidth="1"/>
    <col min="15" max="16" width="9.59765625" bestFit="1" customWidth="1"/>
    <col min="17" max="17" width="10.1328125" bestFit="1" customWidth="1"/>
    <col min="18" max="19" width="9.59765625" bestFit="1" customWidth="1"/>
    <col min="20" max="20" width="12.59765625" bestFit="1" customWidth="1"/>
  </cols>
  <sheetData>
    <row r="1" spans="1:20" ht="18" x14ac:dyDescent="0.55000000000000004">
      <c r="B1" s="83" t="s">
        <v>216</v>
      </c>
      <c r="C1" s="83"/>
      <c r="D1" s="83"/>
      <c r="E1" s="83"/>
      <c r="F1" s="83"/>
      <c r="G1" s="83"/>
      <c r="H1" s="83"/>
      <c r="I1" s="83"/>
      <c r="J1" s="83"/>
      <c r="K1" s="83"/>
      <c r="L1" s="83"/>
      <c r="M1" s="83"/>
      <c r="N1" s="83"/>
      <c r="O1" s="83"/>
      <c r="P1" s="83"/>
      <c r="Q1" s="83"/>
      <c r="R1" s="83"/>
      <c r="S1" s="83"/>
      <c r="T1" s="83"/>
    </row>
    <row r="2" spans="1:20" x14ac:dyDescent="0.45">
      <c r="B2" s="92" t="s">
        <v>12</v>
      </c>
      <c r="C2" s="92"/>
      <c r="D2" s="92"/>
      <c r="E2" s="92" t="s">
        <v>13</v>
      </c>
      <c r="F2" s="92"/>
      <c r="G2" s="92"/>
      <c r="H2" s="37"/>
      <c r="I2" s="92" t="s">
        <v>14</v>
      </c>
      <c r="J2" s="92"/>
      <c r="K2" s="92"/>
      <c r="L2" s="92" t="s">
        <v>15</v>
      </c>
      <c r="M2" s="92"/>
      <c r="N2" s="92"/>
      <c r="O2" s="92" t="s">
        <v>16</v>
      </c>
      <c r="P2" s="92"/>
      <c r="Q2" s="92"/>
      <c r="R2" s="92" t="s">
        <v>17</v>
      </c>
      <c r="S2" s="92"/>
      <c r="T2" s="92"/>
    </row>
    <row r="3" spans="1:20" x14ac:dyDescent="0.45">
      <c r="A3" t="s">
        <v>2</v>
      </c>
      <c r="B3" t="s">
        <v>18</v>
      </c>
      <c r="C3" t="s">
        <v>4</v>
      </c>
      <c r="D3" s="1" t="s">
        <v>5</v>
      </c>
      <c r="E3" t="s">
        <v>18</v>
      </c>
      <c r="F3" t="s">
        <v>4</v>
      </c>
      <c r="G3" s="1" t="s">
        <v>5</v>
      </c>
      <c r="H3" s="31" t="s">
        <v>188</v>
      </c>
      <c r="I3" t="s">
        <v>18</v>
      </c>
      <c r="J3" t="s">
        <v>4</v>
      </c>
      <c r="K3" s="1" t="s">
        <v>5</v>
      </c>
      <c r="L3" t="s">
        <v>18</v>
      </c>
      <c r="M3" t="s">
        <v>4</v>
      </c>
      <c r="N3" s="1" t="s">
        <v>5</v>
      </c>
      <c r="O3" t="s">
        <v>18</v>
      </c>
      <c r="P3" t="s">
        <v>4</v>
      </c>
      <c r="Q3" s="1" t="s">
        <v>5</v>
      </c>
      <c r="R3" t="s">
        <v>18</v>
      </c>
      <c r="S3" t="s">
        <v>4</v>
      </c>
      <c r="T3" s="1" t="s">
        <v>5</v>
      </c>
    </row>
    <row r="4" spans="1:20" x14ac:dyDescent="0.45">
      <c r="A4">
        <v>1988</v>
      </c>
      <c r="B4" s="38">
        <f>658687319*1000/10^12</f>
        <v>0.65868731899999999</v>
      </c>
      <c r="C4" s="39">
        <v>1.17605</v>
      </c>
      <c r="D4" s="39">
        <f>100*(C4-B4)/B4</f>
        <v>78.544502995054629</v>
      </c>
      <c r="E4" s="39">
        <f>463956020*1000/10^12</f>
        <v>0.46395602000000002</v>
      </c>
      <c r="F4" s="39">
        <v>0.52598999999999996</v>
      </c>
      <c r="G4" s="39">
        <f>100*(F4-E4)/E4</f>
        <v>13.370659572431009</v>
      </c>
      <c r="H4" s="39">
        <f>F4*100/32</f>
        <v>1.6437187499999999</v>
      </c>
      <c r="I4" s="39">
        <f>1236906216*1000/10^12</f>
        <v>1.2369062159999999</v>
      </c>
      <c r="J4" s="39">
        <v>1.34108</v>
      </c>
      <c r="K4" s="39">
        <f>100*(J4-I4)/I4</f>
        <v>8.4221247053705586</v>
      </c>
      <c r="L4" s="40"/>
      <c r="M4" s="39">
        <v>2.5077310000000002</v>
      </c>
      <c r="N4" s="40"/>
      <c r="O4" s="40"/>
      <c r="P4" s="39">
        <f>C4+F4+J4+M4</f>
        <v>5.5508509999999998</v>
      </c>
      <c r="Q4" s="40"/>
      <c r="R4" s="39">
        <f>B4+E4+I4</f>
        <v>2.3595495550000001</v>
      </c>
      <c r="S4" s="39">
        <f>C4+F4+J4</f>
        <v>3.04312</v>
      </c>
      <c r="T4" s="39">
        <f>100*(S4-R4)/R4</f>
        <v>28.970378839956169</v>
      </c>
    </row>
    <row r="5" spans="1:20" x14ac:dyDescent="0.45">
      <c r="A5">
        <v>1989</v>
      </c>
      <c r="B5" s="38">
        <f>678616316*1000/10^12</f>
        <v>0.67861631600000005</v>
      </c>
      <c r="C5" s="39"/>
      <c r="D5" s="39"/>
      <c r="E5" s="39">
        <f>464951817*1000/10^12</f>
        <v>0.46495181699999999</v>
      </c>
      <c r="F5" s="39"/>
      <c r="G5" s="39"/>
      <c r="H5" s="39"/>
      <c r="I5" s="39">
        <f>1434527066*1000/10^12</f>
        <v>1.434527066</v>
      </c>
      <c r="J5" s="39"/>
      <c r="K5" s="39"/>
      <c r="L5" s="40"/>
      <c r="M5" s="39"/>
      <c r="N5" s="39"/>
      <c r="O5" s="40"/>
      <c r="P5" s="39"/>
      <c r="Q5" s="39"/>
      <c r="R5" s="39">
        <f t="shared" ref="R5:R29" si="0">B5+E5+I5</f>
        <v>2.5780951989999998</v>
      </c>
      <c r="S5" s="39"/>
      <c r="T5" s="39"/>
    </row>
    <row r="6" spans="1:20" x14ac:dyDescent="0.45">
      <c r="A6">
        <v>1990</v>
      </c>
      <c r="B6" s="38">
        <f>719007636*1000/10^12</f>
        <v>0.71900763599999995</v>
      </c>
      <c r="C6" s="39"/>
      <c r="D6" s="39"/>
      <c r="E6" s="39">
        <f>483417504*1000/10^12</f>
        <v>0.483417504</v>
      </c>
      <c r="F6" s="39"/>
      <c r="G6" s="39"/>
      <c r="H6" s="39"/>
      <c r="I6" s="39">
        <f>1588070882*1000/10^12</f>
        <v>1.588070882</v>
      </c>
      <c r="J6" s="39"/>
      <c r="K6" s="39"/>
      <c r="L6" s="39">
        <f>7897356727*10^3/10^12</f>
        <v>7.897356727</v>
      </c>
      <c r="M6" s="39"/>
      <c r="N6" s="39"/>
      <c r="O6" s="39">
        <f t="shared" ref="O6:O29" si="1">B6+E6+I6+L6</f>
        <v>10.687852749000001</v>
      </c>
      <c r="P6" s="39"/>
      <c r="Q6" s="39"/>
      <c r="R6" s="39">
        <f t="shared" si="0"/>
        <v>2.7904960220000001</v>
      </c>
      <c r="S6" s="39"/>
      <c r="T6" s="39"/>
    </row>
    <row r="7" spans="1:20" x14ac:dyDescent="0.45">
      <c r="A7">
        <v>1991</v>
      </c>
      <c r="B7" s="38">
        <f>700681216*1000/10^12</f>
        <v>0.700681216</v>
      </c>
      <c r="C7" s="39">
        <v>2.4651779999999999</v>
      </c>
      <c r="D7" s="39">
        <f>100*(C7-B7)/B7</f>
        <v>251.82590081021951</v>
      </c>
      <c r="E7" s="39">
        <f>483164395*1000/10^12</f>
        <v>0.48316439500000002</v>
      </c>
      <c r="F7" s="39">
        <v>0.91352999999999995</v>
      </c>
      <c r="G7" s="39">
        <f>100*(F7-E7)/E7</f>
        <v>89.072292878700196</v>
      </c>
      <c r="H7" s="39">
        <f>F7*100/32</f>
        <v>2.8547812499999998</v>
      </c>
      <c r="I7" s="39">
        <f>1655481071*1000/10^12</f>
        <v>1.6554810710000001</v>
      </c>
      <c r="J7" s="39">
        <v>3.4778215000000001</v>
      </c>
      <c r="K7" s="39">
        <f>100*(J7-I7)/I7</f>
        <v>110.07920663805643</v>
      </c>
      <c r="L7" s="39">
        <f>7906801543*10^3/10^12</f>
        <v>7.9068015430000003</v>
      </c>
      <c r="M7" s="39">
        <v>3.36415</v>
      </c>
      <c r="N7" s="39">
        <f>100*(M7-L7)/L7</f>
        <v>-57.45245429894053</v>
      </c>
      <c r="O7" s="39">
        <f t="shared" si="1"/>
        <v>10.746128225</v>
      </c>
      <c r="P7" s="39">
        <f>C7+F7+J7+M7</f>
        <v>10.220679499999999</v>
      </c>
      <c r="Q7" s="39">
        <f>100*(P7-O7)/O7</f>
        <v>-4.8896561998728654</v>
      </c>
      <c r="R7" s="39">
        <f t="shared" si="0"/>
        <v>2.8393266820000003</v>
      </c>
      <c r="S7" s="39">
        <f>C7+F7+J7</f>
        <v>6.8565294999999997</v>
      </c>
      <c r="T7" s="39">
        <f>100*(S7-R7)/R7</f>
        <v>141.48434709775319</v>
      </c>
    </row>
    <row r="8" spans="1:20" x14ac:dyDescent="0.45">
      <c r="A8">
        <v>1992</v>
      </c>
      <c r="B8" s="38">
        <f>725666334*1000/10^12</f>
        <v>0.72566633400000002</v>
      </c>
      <c r="C8" s="39"/>
      <c r="D8" s="39"/>
      <c r="E8" s="39">
        <f>514827003*1000/10^12</f>
        <v>0.51482700299999995</v>
      </c>
      <c r="F8" s="39"/>
      <c r="G8" s="39"/>
      <c r="H8" s="39"/>
      <c r="I8" s="39">
        <f>1790836830*1000/10^12</f>
        <v>1.7908368299999999</v>
      </c>
      <c r="J8" s="39"/>
      <c r="K8" s="39"/>
      <c r="L8" s="39">
        <f>8168277553*10^3/10^12</f>
        <v>8.1682775529999994</v>
      </c>
      <c r="M8" s="39"/>
      <c r="N8" s="39"/>
      <c r="O8" s="39">
        <f t="shared" si="1"/>
        <v>11.199607719999999</v>
      </c>
      <c r="P8" s="39"/>
      <c r="Q8" s="39"/>
      <c r="R8" s="39">
        <f t="shared" si="0"/>
        <v>3.0313301670000001</v>
      </c>
      <c r="S8" s="39"/>
      <c r="T8" s="39"/>
    </row>
    <row r="9" spans="1:20" x14ac:dyDescent="0.45">
      <c r="A9">
        <v>1993</v>
      </c>
      <c r="B9" s="38">
        <f>746306213*1000/10^12</f>
        <v>0.746306213</v>
      </c>
      <c r="C9" s="39"/>
      <c r="D9" s="39"/>
      <c r="E9" s="39">
        <f>560999120*1000/10^12</f>
        <v>0.56099911999999996</v>
      </c>
      <c r="F9" s="39"/>
      <c r="G9" s="39"/>
      <c r="H9" s="39"/>
      <c r="I9" s="39">
        <f>1967936737*1000/10^12</f>
        <v>1.967936737</v>
      </c>
      <c r="J9" s="39"/>
      <c r="K9" s="39"/>
      <c r="L9" s="39">
        <f>8476960228*10^3/10^12</f>
        <v>8.4769602279999994</v>
      </c>
      <c r="M9" s="39"/>
      <c r="N9" s="39"/>
      <c r="O9" s="39">
        <f t="shared" si="1"/>
        <v>11.752202298</v>
      </c>
      <c r="P9" s="39"/>
      <c r="Q9" s="39"/>
      <c r="R9" s="39">
        <f t="shared" si="0"/>
        <v>3.27524207</v>
      </c>
      <c r="S9" s="39"/>
      <c r="T9" s="39"/>
    </row>
    <row r="10" spans="1:20" x14ac:dyDescent="0.45">
      <c r="A10">
        <v>1994</v>
      </c>
      <c r="B10" s="38">
        <f>778493996*1000/10^12</f>
        <v>0.77849399600000002</v>
      </c>
      <c r="C10" s="39">
        <v>0.90164800000000001</v>
      </c>
      <c r="D10" s="39">
        <f>100*(C10-B10)/B10</f>
        <v>15.819518793051806</v>
      </c>
      <c r="E10" s="39">
        <f>656158602*1000/10^12</f>
        <v>0.65615860199999998</v>
      </c>
      <c r="F10" s="39">
        <v>1.9932399999999999</v>
      </c>
      <c r="G10" s="39">
        <f>100*(F10-E10)/E10</f>
        <v>203.77411709981666</v>
      </c>
      <c r="H10" s="39">
        <f>F10*100/32</f>
        <v>6.2288749999999995</v>
      </c>
      <c r="I10" s="39">
        <f>2173454305*1000/10^12</f>
        <v>2.1734543049999999</v>
      </c>
      <c r="J10" s="39">
        <v>2.0410046999999998</v>
      </c>
      <c r="K10" s="39">
        <f>100*(J10-I10)/I10</f>
        <v>-6.0939677772521721</v>
      </c>
      <c r="L10" s="39">
        <f>9302455680*10^3/10^12</f>
        <v>9.3024556799999996</v>
      </c>
      <c r="M10" s="39">
        <v>18.063950999999999</v>
      </c>
      <c r="N10" s="39">
        <f>100*(M10-L10)/L10</f>
        <v>94.184757459656083</v>
      </c>
      <c r="O10" s="39">
        <f t="shared" si="1"/>
        <v>12.910562582999999</v>
      </c>
      <c r="P10" s="39">
        <f>C10+F10+J10+M10</f>
        <v>22.9998437</v>
      </c>
      <c r="Q10" s="39">
        <f>100*(P10-O10)/O10</f>
        <v>78.147493977412537</v>
      </c>
      <c r="R10" s="39">
        <f t="shared" si="0"/>
        <v>3.6081069029999999</v>
      </c>
      <c r="S10" s="39">
        <f>C10+F10+J10</f>
        <v>4.9358927000000001</v>
      </c>
      <c r="T10" s="39">
        <f>100*(S10-R10)/R10</f>
        <v>36.800068088226496</v>
      </c>
    </row>
    <row r="11" spans="1:20" x14ac:dyDescent="0.45">
      <c r="A11">
        <v>1995</v>
      </c>
      <c r="B11" s="38">
        <f t="shared" ref="B11" si="2">843233843*1000/10^12</f>
        <v>0.84323384300000004</v>
      </c>
      <c r="C11" s="39"/>
      <c r="D11" s="39"/>
      <c r="E11" s="39">
        <f>760617695*1000/10^12</f>
        <v>0.76061769499999998</v>
      </c>
      <c r="F11" s="39"/>
      <c r="G11" s="39"/>
      <c r="H11" s="39"/>
      <c r="I11" s="39">
        <f>2366453853*1000/10^12</f>
        <v>2.3664538529999999</v>
      </c>
      <c r="J11" s="39"/>
      <c r="K11" s="39"/>
      <c r="L11" s="39">
        <f>9995724339*10^3/10^12</f>
        <v>9.9957243390000006</v>
      </c>
      <c r="M11" s="39"/>
      <c r="N11" s="39"/>
      <c r="O11" s="39">
        <f t="shared" si="1"/>
        <v>13.966029730000001</v>
      </c>
      <c r="P11" s="39"/>
      <c r="Q11" s="39"/>
      <c r="R11" s="39">
        <f t="shared" si="0"/>
        <v>3.9703053910000001</v>
      </c>
      <c r="S11" s="39"/>
      <c r="T11" s="39"/>
    </row>
    <row r="12" spans="1:20" x14ac:dyDescent="0.45">
      <c r="A12">
        <v>1996</v>
      </c>
      <c r="B12" s="38">
        <f>831545876*1000/10^12</f>
        <v>0.83154587599999996</v>
      </c>
      <c r="C12" s="39"/>
      <c r="D12" s="39"/>
      <c r="E12" s="39">
        <f>915844404*1000/10^12</f>
        <v>0.915844404</v>
      </c>
      <c r="F12" s="39"/>
      <c r="G12" s="39"/>
      <c r="H12" s="39"/>
      <c r="I12" s="39">
        <v>2.571988996</v>
      </c>
      <c r="J12" s="39"/>
      <c r="K12" s="39"/>
      <c r="L12" s="39">
        <f>10257445879*10^3/10^12</f>
        <v>10.257445879</v>
      </c>
      <c r="M12" s="39"/>
      <c r="N12" s="39"/>
      <c r="O12" s="39">
        <f t="shared" si="1"/>
        <v>14.576825155</v>
      </c>
      <c r="P12" s="39"/>
      <c r="Q12" s="39"/>
      <c r="R12" s="39">
        <f t="shared" si="0"/>
        <v>4.3193792759999994</v>
      </c>
      <c r="S12" s="39"/>
      <c r="T12" s="39"/>
    </row>
    <row r="13" spans="1:20" x14ac:dyDescent="0.45">
      <c r="A13">
        <v>1997</v>
      </c>
      <c r="B13" s="39">
        <f>858452648*1000/10^12</f>
        <v>0.85845264799999998</v>
      </c>
      <c r="C13" s="39">
        <v>0.98699999999999999</v>
      </c>
      <c r="D13" s="39">
        <f>100*(C13-B13)/B13</f>
        <v>14.974308984832907</v>
      </c>
      <c r="E13" s="39">
        <f>1141963405*1000/10^12</f>
        <v>1.141963405</v>
      </c>
      <c r="F13" s="39">
        <v>0.84499999999999997</v>
      </c>
      <c r="G13" s="39">
        <f>100*(F13-E13)/E13</f>
        <v>-26.004634097709992</v>
      </c>
      <c r="H13" s="39">
        <f>F13*100/32</f>
        <v>2.640625</v>
      </c>
      <c r="I13" s="39">
        <v>2.8406239430000002</v>
      </c>
      <c r="J13" s="39">
        <v>2.7686299999999999</v>
      </c>
      <c r="K13" s="39">
        <f>100*(J13-I13)/I13</f>
        <v>-2.5344411806924025</v>
      </c>
      <c r="L13" s="39">
        <f>10739791692*10^3/10^12</f>
        <v>10.739791692000001</v>
      </c>
      <c r="M13" s="39">
        <v>2.6970339999999999</v>
      </c>
      <c r="N13" s="39">
        <f>100*(M13-L13)/L13</f>
        <v>-74.887464511914104</v>
      </c>
      <c r="O13" s="39">
        <f t="shared" si="1"/>
        <v>15.580831688</v>
      </c>
      <c r="P13" s="39">
        <f>C13+F13+J13+M13</f>
        <v>7.2976639999999993</v>
      </c>
      <c r="Q13" s="39">
        <f>100*(P13-O13)/O13</f>
        <v>-53.162551613849388</v>
      </c>
      <c r="R13" s="39">
        <f t="shared" si="0"/>
        <v>4.8410399960000001</v>
      </c>
      <c r="S13" s="39">
        <f>C13+F13+J13</f>
        <v>4.6006299999999998</v>
      </c>
      <c r="T13" s="39">
        <f>100*(S13-R13)/R13</f>
        <v>-4.9660815898782822</v>
      </c>
    </row>
    <row r="14" spans="1:20" x14ac:dyDescent="0.45">
      <c r="A14">
        <v>1998</v>
      </c>
      <c r="B14" s="39">
        <f>905137974*1000/10^12</f>
        <v>0.90513797399999996</v>
      </c>
      <c r="C14" s="39"/>
      <c r="D14" s="39"/>
      <c r="E14" s="39">
        <f>1356655904*1000/10^12</f>
        <v>1.3566559039999999</v>
      </c>
      <c r="F14" s="39"/>
      <c r="G14" s="39"/>
      <c r="H14" s="39"/>
      <c r="I14" s="39">
        <v>3.0041189340000001</v>
      </c>
      <c r="J14" s="39"/>
      <c r="K14" s="39"/>
      <c r="L14" s="39">
        <v>11.006931245000001</v>
      </c>
      <c r="M14" s="39"/>
      <c r="N14" s="39"/>
      <c r="O14" s="39">
        <f t="shared" si="1"/>
        <v>16.272844057</v>
      </c>
      <c r="P14" s="39"/>
      <c r="Q14" s="39"/>
      <c r="R14" s="39">
        <f t="shared" si="0"/>
        <v>5.2659128119999998</v>
      </c>
      <c r="S14" s="39"/>
      <c r="T14" s="39"/>
    </row>
    <row r="15" spans="1:20" x14ac:dyDescent="0.45">
      <c r="A15">
        <v>1999</v>
      </c>
      <c r="B15" s="39">
        <f>955392128*1000/10^12</f>
        <v>0.95539212799999995</v>
      </c>
      <c r="C15" s="39"/>
      <c r="D15" s="39"/>
      <c r="E15" s="39">
        <f>1615762245*1000/10^12</f>
        <v>1.615762245</v>
      </c>
      <c r="F15" s="39"/>
      <c r="G15" s="39"/>
      <c r="H15" s="39"/>
      <c r="I15" s="39">
        <v>3.2427974289999999</v>
      </c>
      <c r="J15" s="39"/>
      <c r="K15" s="39"/>
      <c r="L15" s="39">
        <v>11.996720127</v>
      </c>
      <c r="M15" s="39"/>
      <c r="N15" s="39"/>
      <c r="O15" s="39">
        <f t="shared" si="1"/>
        <v>17.810671929000002</v>
      </c>
      <c r="P15" s="39"/>
      <c r="Q15" s="39"/>
      <c r="R15" s="39">
        <f t="shared" si="0"/>
        <v>5.8139518020000001</v>
      </c>
      <c r="S15" s="39"/>
      <c r="T15" s="39"/>
    </row>
    <row r="16" spans="1:20" x14ac:dyDescent="0.45">
      <c r="A16">
        <v>2000</v>
      </c>
      <c r="B16" s="39">
        <f>1007948354*1000/10^12</f>
        <v>1.007948354</v>
      </c>
      <c r="C16" s="39">
        <v>0.96889999999999998</v>
      </c>
      <c r="D16" s="39">
        <f>100*(C16-B16)/B16</f>
        <v>-3.8740431337615995</v>
      </c>
      <c r="E16" s="39">
        <f>2061764235*1000/10^12</f>
        <v>2.0617642350000001</v>
      </c>
      <c r="F16" s="39">
        <v>1.5736000000000001</v>
      </c>
      <c r="G16" s="39">
        <f>100*(F16-E16)/E16</f>
        <v>-23.67701537901592</v>
      </c>
      <c r="H16" s="39">
        <f>F16*100/32</f>
        <v>4.9175000000000004</v>
      </c>
      <c r="I16" s="39">
        <v>3.5576501660000002</v>
      </c>
      <c r="J16" s="39">
        <v>3.2185999999999999</v>
      </c>
      <c r="K16" s="39">
        <f>100*(J16-I16)/I16</f>
        <v>-9.5301716070978131</v>
      </c>
      <c r="L16" s="39">
        <v>12.864592069</v>
      </c>
      <c r="M16" s="39">
        <v>2.1179619999999999</v>
      </c>
      <c r="N16" s="39">
        <f>100*(M16-L16)/L16</f>
        <v>-83.5365008961016</v>
      </c>
      <c r="O16" s="39">
        <f t="shared" si="1"/>
        <v>19.491954824</v>
      </c>
      <c r="P16" s="39">
        <f>C16+F16+J16+M16</f>
        <v>7.8790619999999993</v>
      </c>
      <c r="Q16" s="39">
        <f>100*(P16-O16)/O16</f>
        <v>-59.577876764321807</v>
      </c>
      <c r="R16" s="39">
        <f t="shared" si="0"/>
        <v>6.627362755</v>
      </c>
      <c r="S16" s="39">
        <f>C16+F16+J16</f>
        <v>5.7610999999999999</v>
      </c>
      <c r="T16" s="39">
        <f>100*(S16-R16)/R16</f>
        <v>-13.071002554469349</v>
      </c>
    </row>
    <row r="17" spans="1:20" x14ac:dyDescent="0.45">
      <c r="A17">
        <v>2001</v>
      </c>
      <c r="B17" s="38">
        <f>1016834678*1000/10^12</f>
        <v>1.0168346779999999</v>
      </c>
      <c r="C17" s="39"/>
      <c r="D17" s="39"/>
      <c r="E17" s="39">
        <f>2278200526*1000/10^12</f>
        <v>2.278200526</v>
      </c>
      <c r="F17" s="39"/>
      <c r="G17" s="39"/>
      <c r="H17" s="39"/>
      <c r="I17" s="39">
        <v>3.6911201509999998</v>
      </c>
      <c r="J17" s="39"/>
      <c r="K17" s="39"/>
      <c r="L17" s="39">
        <v>12.695835584999999</v>
      </c>
      <c r="M17" s="39"/>
      <c r="N17" s="39"/>
      <c r="O17" s="39">
        <f t="shared" si="1"/>
        <v>19.681990939999999</v>
      </c>
      <c r="P17" s="39"/>
      <c r="Q17" s="39"/>
      <c r="R17" s="39">
        <f t="shared" si="0"/>
        <v>6.9861553549999993</v>
      </c>
      <c r="S17" s="39"/>
      <c r="T17" s="39"/>
    </row>
    <row r="18" spans="1:20" x14ac:dyDescent="0.45">
      <c r="A18">
        <v>2002</v>
      </c>
      <c r="B18" s="38">
        <f>1029691760*1000/10^12</f>
        <v>1.02969176</v>
      </c>
      <c r="C18" s="39"/>
      <c r="D18" s="39"/>
      <c r="E18" s="39">
        <f>2414187093*1000/10^12</f>
        <v>2.4141870929999998</v>
      </c>
      <c r="F18" s="39"/>
      <c r="G18" s="39"/>
      <c r="H18" s="39"/>
      <c r="I18" s="39">
        <v>3.8412811059999998</v>
      </c>
      <c r="J18" s="39"/>
      <c r="K18" s="39"/>
      <c r="L18" s="39">
        <v>12.211495174</v>
      </c>
      <c r="M18" s="39"/>
      <c r="N18" s="39"/>
      <c r="O18" s="39">
        <f t="shared" si="1"/>
        <v>19.496655132999997</v>
      </c>
      <c r="P18" s="39"/>
      <c r="Q18" s="39"/>
      <c r="R18" s="39">
        <f t="shared" si="0"/>
        <v>7.2851599589999996</v>
      </c>
      <c r="S18" s="39"/>
      <c r="T18" s="39"/>
    </row>
    <row r="19" spans="1:20" x14ac:dyDescent="0.45">
      <c r="A19">
        <v>2003</v>
      </c>
      <c r="B19" s="38">
        <f>1050202446*1000/10^12</f>
        <v>1.0502024459999999</v>
      </c>
      <c r="C19" s="39">
        <v>1.0107999999999999</v>
      </c>
      <c r="D19" s="39">
        <f>100*(C19-B19)/B19</f>
        <v>-3.7518905188304981</v>
      </c>
      <c r="E19" s="39">
        <f>2545612266*1000/10^12</f>
        <v>2.545612266</v>
      </c>
      <c r="F19" s="39">
        <v>3.3210000000000002</v>
      </c>
      <c r="G19" s="39">
        <f>100*(F19-E19)/E19</f>
        <v>30.459773640955582</v>
      </c>
      <c r="H19" s="39">
        <f>F19*100/32</f>
        <v>10.378125000000001</v>
      </c>
      <c r="I19" s="39">
        <v>4.1523651020000001</v>
      </c>
      <c r="J19" s="39">
        <v>5.6422949999999998</v>
      </c>
      <c r="K19" s="39">
        <f>100*(J19-I19)/I19</f>
        <v>35.881476252711259</v>
      </c>
      <c r="L19" s="39">
        <v>12.852027959999999</v>
      </c>
      <c r="M19" s="39">
        <v>1.523018</v>
      </c>
      <c r="N19" s="39">
        <f>100*(M19-L19)/L19</f>
        <v>-88.149590051156409</v>
      </c>
      <c r="O19" s="39">
        <f t="shared" si="1"/>
        <v>20.600207773999998</v>
      </c>
      <c r="P19" s="39">
        <f>C19+F19+J19+M19</f>
        <v>11.497113000000001</v>
      </c>
      <c r="Q19" s="39">
        <f>100*(P19-O19)/O19</f>
        <v>-44.189334757532031</v>
      </c>
      <c r="R19" s="39">
        <f t="shared" si="0"/>
        <v>7.7481798140000002</v>
      </c>
      <c r="S19" s="39">
        <f>C19+F19+J19</f>
        <v>9.9740950000000002</v>
      </c>
      <c r="T19" s="39">
        <f>100*(S19-R19)/R19</f>
        <v>28.728233461722805</v>
      </c>
    </row>
    <row r="20" spans="1:20" x14ac:dyDescent="0.45">
      <c r="A20">
        <v>2004</v>
      </c>
      <c r="B20" s="38">
        <f>1139523760*1000/10^12</f>
        <v>1.1395237600000001</v>
      </c>
      <c r="C20" s="39"/>
      <c r="D20" s="39"/>
      <c r="E20" s="39">
        <f>2818861323*1000/10^12</f>
        <v>2.8188613230000001</v>
      </c>
      <c r="F20" s="39"/>
      <c r="G20" s="39"/>
      <c r="H20" s="39"/>
      <c r="I20" s="39">
        <v>4.6456937199999997</v>
      </c>
      <c r="J20" s="39"/>
      <c r="K20" s="39"/>
      <c r="L20" s="39">
        <v>13.953882024</v>
      </c>
      <c r="M20" s="39"/>
      <c r="N20" s="39"/>
      <c r="O20" s="39">
        <f t="shared" si="1"/>
        <v>22.557960827000002</v>
      </c>
      <c r="P20" s="39"/>
      <c r="Q20" s="39"/>
      <c r="R20" s="39">
        <f t="shared" si="0"/>
        <v>8.6040788030000002</v>
      </c>
      <c r="S20" s="39"/>
      <c r="T20" s="39"/>
    </row>
    <row r="21" spans="1:20" x14ac:dyDescent="0.45">
      <c r="A21">
        <v>2005</v>
      </c>
      <c r="B21" s="38">
        <f>1222880231*1000/10^12</f>
        <v>1.222880231</v>
      </c>
      <c r="C21" s="39"/>
      <c r="D21" s="39"/>
      <c r="E21" s="39">
        <f>3280057197*1000/10^12</f>
        <v>3.2800571970000001</v>
      </c>
      <c r="F21" s="39"/>
      <c r="G21" s="39"/>
      <c r="H21" s="39"/>
      <c r="I21" s="39">
        <v>5.1470167590000004</v>
      </c>
      <c r="J21" s="39"/>
      <c r="K21" s="39"/>
      <c r="L21" s="39">
        <v>15.198995780000001</v>
      </c>
      <c r="M21" s="39"/>
      <c r="N21" s="39"/>
      <c r="O21" s="39">
        <f t="shared" si="1"/>
        <v>24.848949967000003</v>
      </c>
      <c r="P21" s="39"/>
      <c r="Q21" s="39"/>
      <c r="R21" s="39">
        <f t="shared" si="0"/>
        <v>9.6499541870000005</v>
      </c>
      <c r="S21" s="39"/>
      <c r="T21" s="39"/>
    </row>
    <row r="22" spans="1:20" x14ac:dyDescent="0.45">
      <c r="A22">
        <v>2006</v>
      </c>
      <c r="B22" s="38">
        <f>1278359791*1000/10^12</f>
        <v>1.278359791</v>
      </c>
      <c r="C22" s="39">
        <v>0.9355</v>
      </c>
      <c r="D22" s="39">
        <f>100*(C22-B22)/B22</f>
        <v>-26.820289046466105</v>
      </c>
      <c r="E22" s="39">
        <f>3571281520*1000/10^12</f>
        <v>3.5712815199999999</v>
      </c>
      <c r="F22" s="39">
        <v>3.7639</v>
      </c>
      <c r="G22" s="39">
        <f>100*(F22-E22)/E22</f>
        <v>5.3935395157534414</v>
      </c>
      <c r="H22" s="39">
        <f>F22*100/32</f>
        <v>11.7621875</v>
      </c>
      <c r="I22" s="39">
        <v>5.6998030000000002</v>
      </c>
      <c r="J22" s="39">
        <v>5.0199800000000003</v>
      </c>
      <c r="K22" s="39">
        <f>100*(J22-I22)/I22</f>
        <v>-11.927131516650659</v>
      </c>
      <c r="L22" s="39">
        <v>16.055314389999999</v>
      </c>
      <c r="M22" s="39">
        <v>3.2489650000000001</v>
      </c>
      <c r="N22" s="39">
        <f>100*(M22-L22)/L22</f>
        <v>-79.763927874102507</v>
      </c>
      <c r="O22" s="39">
        <f t="shared" si="1"/>
        <v>26.604758701000002</v>
      </c>
      <c r="P22" s="39">
        <f>C22+F22+J22+M22</f>
        <v>12.968345000000001</v>
      </c>
      <c r="Q22" s="39">
        <f>100*(P22-O22)/O22</f>
        <v>-51.255543620049615</v>
      </c>
      <c r="R22" s="39">
        <f t="shared" si="0"/>
        <v>10.549444311</v>
      </c>
      <c r="S22" s="39">
        <f>C22+F22+J22</f>
        <v>9.719380000000001</v>
      </c>
      <c r="T22" s="39">
        <f>100*(S22-R22)/R22</f>
        <v>-7.8683226009779847</v>
      </c>
    </row>
    <row r="23" spans="1:20" x14ac:dyDescent="0.45">
      <c r="A23">
        <v>2007</v>
      </c>
      <c r="B23" s="38">
        <f>1324403080*1000/10^12</f>
        <v>1.32440308</v>
      </c>
      <c r="C23" s="39"/>
      <c r="D23" s="39"/>
      <c r="E23" s="39">
        <f>3847033858*1000/10^12</f>
        <v>3.8470338580000001</v>
      </c>
      <c r="F23" s="39"/>
      <c r="G23" s="39"/>
      <c r="H23" s="39"/>
      <c r="I23" s="39">
        <v>5.9741971019999998</v>
      </c>
      <c r="J23" s="39"/>
      <c r="K23" s="39"/>
      <c r="L23" s="39">
        <v>16.719295274</v>
      </c>
      <c r="M23" s="39"/>
      <c r="N23" s="39"/>
      <c r="O23" s="39">
        <f t="shared" si="1"/>
        <v>27.864929314000001</v>
      </c>
      <c r="P23" s="39"/>
      <c r="Q23" s="39"/>
      <c r="R23" s="39">
        <f t="shared" si="0"/>
        <v>11.145634040000001</v>
      </c>
      <c r="S23" s="39"/>
      <c r="T23" s="39"/>
    </row>
    <row r="24" spans="1:20" x14ac:dyDescent="0.45">
      <c r="A24">
        <v>2008</v>
      </c>
      <c r="B24" s="38">
        <f>1317443005*1000/10^12</f>
        <v>1.3174430049999999</v>
      </c>
      <c r="C24" s="39"/>
      <c r="D24" s="39"/>
      <c r="E24" s="39">
        <f>4343871123*1000/10^12</f>
        <v>4.3438711229999996</v>
      </c>
      <c r="F24" s="39"/>
      <c r="G24" s="39"/>
      <c r="H24" s="39"/>
      <c r="I24" s="39">
        <v>6.0132922449999997</v>
      </c>
      <c r="J24" s="39"/>
      <c r="K24" s="39"/>
      <c r="L24" s="39">
        <v>17.078489185999999</v>
      </c>
      <c r="M24" s="39"/>
      <c r="N24" s="39"/>
      <c r="O24" s="39">
        <f t="shared" si="1"/>
        <v>28.753095558999998</v>
      </c>
      <c r="P24" s="39"/>
      <c r="Q24" s="39"/>
      <c r="R24" s="39">
        <f t="shared" si="0"/>
        <v>11.674606373</v>
      </c>
      <c r="S24" s="39"/>
      <c r="T24" s="39"/>
    </row>
    <row r="25" spans="1:20" x14ac:dyDescent="0.45">
      <c r="A25">
        <v>2009</v>
      </c>
      <c r="B25" s="38">
        <f>1178437093*1000/10^12</f>
        <v>1.1784370930000001</v>
      </c>
      <c r="C25" s="39">
        <v>1.194</v>
      </c>
      <c r="D25" s="39">
        <f>100*(C25-B25)/B25</f>
        <v>1.3206396075314175</v>
      </c>
      <c r="E25" s="39">
        <f>3562275066*1000/10^12</f>
        <v>3.5622750660000002</v>
      </c>
      <c r="F25" s="39">
        <v>3.3187000000000002</v>
      </c>
      <c r="G25" s="39">
        <f>100*(F25-E25)/E25</f>
        <v>-6.8376265585101228</v>
      </c>
      <c r="H25" s="39">
        <f>F25*100/32</f>
        <v>10.3709375</v>
      </c>
      <c r="I25" s="39">
        <v>5.2854512119999999</v>
      </c>
      <c r="J25" s="39">
        <v>4.8099999999999996</v>
      </c>
      <c r="K25" s="39">
        <f>100*(J25-I25)/I25</f>
        <v>-8.9954706406246601</v>
      </c>
      <c r="L25" s="39">
        <v>14.616171273000001</v>
      </c>
      <c r="M25" s="39">
        <v>2.6131850000000001</v>
      </c>
      <c r="N25" s="39">
        <f>100*(M25-L25)/L25</f>
        <v>-82.121275461329233</v>
      </c>
      <c r="O25" s="39">
        <f t="shared" si="1"/>
        <v>24.642334644000002</v>
      </c>
      <c r="P25" s="39">
        <f>C25+F25+J25+M25</f>
        <v>11.935885000000001</v>
      </c>
      <c r="Q25" s="39">
        <f>100*(P25-O25)/O25</f>
        <v>-51.56349764568192</v>
      </c>
      <c r="R25" s="39">
        <f t="shared" si="0"/>
        <v>10.026163370999999</v>
      </c>
      <c r="S25" s="39">
        <f>C25+F25+J25</f>
        <v>9.3227000000000011</v>
      </c>
      <c r="T25" s="39">
        <f>100*(S25-R25)/R25</f>
        <v>-7.016276764796376</v>
      </c>
    </row>
    <row r="26" spans="1:20" x14ac:dyDescent="0.45">
      <c r="A26">
        <v>2010</v>
      </c>
      <c r="B26" s="38">
        <f>1195538629*1000/10^12</f>
        <v>1.1955386290000001</v>
      </c>
      <c r="C26" s="39"/>
      <c r="D26" s="39"/>
      <c r="E26" s="39">
        <f>3946423948*1000/10^12</f>
        <v>3.9464239480000001</v>
      </c>
      <c r="F26" s="39"/>
      <c r="G26" s="39"/>
      <c r="H26" s="39"/>
      <c r="I26" s="39">
        <v>5.567202247</v>
      </c>
      <c r="J26" s="39"/>
      <c r="K26" s="39"/>
      <c r="L26" s="39">
        <v>15.920132243999999</v>
      </c>
      <c r="M26" s="39"/>
      <c r="N26" s="39"/>
      <c r="O26" s="39">
        <f t="shared" si="1"/>
        <v>26.629297068</v>
      </c>
      <c r="P26" s="39"/>
      <c r="Q26" s="39"/>
      <c r="R26" s="39">
        <f t="shared" si="0"/>
        <v>10.709164824</v>
      </c>
      <c r="S26" s="39"/>
      <c r="T26" s="39"/>
    </row>
    <row r="27" spans="1:20" x14ac:dyDescent="0.45">
      <c r="A27">
        <v>2011</v>
      </c>
      <c r="B27" s="38">
        <f>1265939196*1000/10^12</f>
        <v>1.2659391959999999</v>
      </c>
      <c r="C27" s="39"/>
      <c r="D27" s="39"/>
      <c r="E27" s="39">
        <f>4454568856*1000/10^12</f>
        <v>4.4545688559999999</v>
      </c>
      <c r="F27" s="39"/>
      <c r="G27" s="39"/>
      <c r="H27" s="39"/>
      <c r="I27" s="39">
        <v>6.1021069240000001</v>
      </c>
      <c r="J27" s="39"/>
      <c r="K27" s="39"/>
      <c r="L27" s="39">
        <v>17.402225470000001</v>
      </c>
      <c r="M27" s="39"/>
      <c r="N27" s="39"/>
      <c r="O27" s="39">
        <f t="shared" si="1"/>
        <v>29.224840446000002</v>
      </c>
      <c r="P27" s="39"/>
      <c r="Q27" s="39"/>
      <c r="R27" s="39">
        <f t="shared" si="0"/>
        <v>11.822614976000001</v>
      </c>
      <c r="S27" s="39"/>
      <c r="T27" s="39"/>
    </row>
    <row r="28" spans="1:20" x14ac:dyDescent="0.45">
      <c r="A28">
        <v>2012</v>
      </c>
      <c r="B28" s="38">
        <f>1301569749*1000/10^12</f>
        <v>1.301569749</v>
      </c>
      <c r="C28" s="39">
        <v>1.1194999999999999</v>
      </c>
      <c r="D28" s="39">
        <f>100*(C28-B28)/B28</f>
        <v>-13.988474235812934</v>
      </c>
      <c r="E28" s="39">
        <f>4689702874*1000/10^12</f>
        <v>4.689702874</v>
      </c>
      <c r="F28" s="39">
        <v>4.1247999999999996</v>
      </c>
      <c r="G28" s="39">
        <f>100*(F28-E28)/E28</f>
        <v>-12.04560052475513</v>
      </c>
      <c r="H28" s="39">
        <f>F28*100/32</f>
        <v>12.889999999999999</v>
      </c>
      <c r="I28" s="39">
        <v>6.4270570899999999</v>
      </c>
      <c r="J28" s="39">
        <v>5.57</v>
      </c>
      <c r="K28" s="39">
        <f>100*(J28-I28)/I28</f>
        <v>-13.335140453840275</v>
      </c>
      <c r="L28" s="39">
        <v>17.823077587</v>
      </c>
      <c r="M28" s="39">
        <v>2.643084</v>
      </c>
      <c r="N28" s="39">
        <f>100*(M28-L28)/L28</f>
        <v>-85.170439913655301</v>
      </c>
      <c r="O28" s="39">
        <f t="shared" si="1"/>
        <v>30.241407299999999</v>
      </c>
      <c r="P28" s="39">
        <f>C28+F28+J28+M28</f>
        <v>13.457383999999999</v>
      </c>
      <c r="Q28" s="39">
        <f>100*(P28-O28)/O28</f>
        <v>-55.500139704146648</v>
      </c>
      <c r="R28" s="39">
        <f t="shared" si="0"/>
        <v>12.418329713</v>
      </c>
      <c r="S28" s="39">
        <f>C28+F28+J28</f>
        <v>10.814299999999999</v>
      </c>
      <c r="T28" s="39">
        <f>100*(S28-R28)/R28</f>
        <v>-12.916630094954227</v>
      </c>
    </row>
    <row r="29" spans="1:20" x14ac:dyDescent="0.45">
      <c r="A29">
        <v>2013</v>
      </c>
      <c r="B29" s="38">
        <f>1341571082*1000/10^12</f>
        <v>1.341571082</v>
      </c>
      <c r="C29" s="39"/>
      <c r="D29" s="39"/>
      <c r="E29" s="39">
        <f>5068975400*1000/10^12</f>
        <v>5.0689754000000002</v>
      </c>
      <c r="F29" s="39"/>
      <c r="G29" s="39"/>
      <c r="H29" s="39"/>
      <c r="I29" s="39">
        <v>6.7450950279999997</v>
      </c>
      <c r="J29" s="39"/>
      <c r="K29" s="39"/>
      <c r="L29" s="39">
        <v>18.236612627</v>
      </c>
      <c r="M29" s="39"/>
      <c r="N29" s="39"/>
      <c r="O29" s="39">
        <f t="shared" si="1"/>
        <v>31.392254136999998</v>
      </c>
      <c r="P29" s="39"/>
      <c r="Q29" s="39"/>
      <c r="R29" s="39">
        <f t="shared" si="0"/>
        <v>13.155641509999999</v>
      </c>
      <c r="S29" s="39"/>
      <c r="T29" s="39"/>
    </row>
    <row r="30" spans="1:20" x14ac:dyDescent="0.45">
      <c r="A30">
        <v>2014</v>
      </c>
      <c r="B30" s="38">
        <f>1393884201*1000/10^12</f>
        <v>1.3938842010000001</v>
      </c>
      <c r="C30" s="39"/>
      <c r="D30" s="39"/>
      <c r="E30" s="39">
        <f>5185510381*1000/10^12</f>
        <v>5.1855103810000003</v>
      </c>
      <c r="F30" s="38"/>
      <c r="G30" s="39"/>
      <c r="H30" s="39"/>
      <c r="I30" s="40"/>
      <c r="J30" s="39"/>
      <c r="K30" s="39"/>
      <c r="L30" s="40"/>
      <c r="M30" s="39"/>
      <c r="N30" s="39"/>
      <c r="O30" s="40"/>
      <c r="P30" s="39"/>
      <c r="Q30" s="39"/>
      <c r="R30" s="40"/>
      <c r="S30" s="39"/>
      <c r="T30" s="39"/>
    </row>
    <row r="31" spans="1:20" x14ac:dyDescent="0.45">
      <c r="A31">
        <v>2015</v>
      </c>
      <c r="B31" s="38">
        <f>1443584972*1000/10^12</f>
        <v>1.443584972</v>
      </c>
      <c r="C31" s="39">
        <v>0.877</v>
      </c>
      <c r="D31" s="39">
        <f>100*(C31-B31)/B31</f>
        <v>-39.248467044861975</v>
      </c>
      <c r="E31" s="41"/>
      <c r="F31" s="38">
        <v>10.66</v>
      </c>
      <c r="G31" s="41"/>
      <c r="H31" s="39">
        <f>F31*100/32</f>
        <v>33.3125</v>
      </c>
      <c r="I31" s="40"/>
      <c r="J31" s="39">
        <v>4.5990000000000002</v>
      </c>
      <c r="K31" s="40"/>
      <c r="L31" s="40"/>
      <c r="M31" s="39">
        <v>2.6024150000000001</v>
      </c>
      <c r="N31" s="40"/>
      <c r="O31" s="40"/>
      <c r="P31" s="39">
        <f>C31+F31+J31+M31</f>
        <v>18.738415000000003</v>
      </c>
      <c r="Q31" s="40"/>
      <c r="R31" s="40"/>
      <c r="S31" s="39">
        <f>C31+F31+J31</f>
        <v>16.136000000000003</v>
      </c>
      <c r="T31" s="40"/>
    </row>
    <row r="34" spans="1:20" x14ac:dyDescent="0.45">
      <c r="A34" t="s">
        <v>217</v>
      </c>
      <c r="T34" s="2">
        <f>AVERAGE(T4:T28)</f>
        <v>21.127190431398045</v>
      </c>
    </row>
  </sheetData>
  <mergeCells count="7">
    <mergeCell ref="B1:T1"/>
    <mergeCell ref="B2:D2"/>
    <mergeCell ref="E2:G2"/>
    <mergeCell ref="I2:K2"/>
    <mergeCell ref="L2:N2"/>
    <mergeCell ref="O2:Q2"/>
    <mergeCell ref="R2:T2"/>
  </mergeCells>
  <pageMargins left="0.7" right="0.7" top="0.75" bottom="0.75"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35"/>
  <sheetViews>
    <sheetView zoomScaleNormal="100" workbookViewId="0">
      <selection activeCell="M7" sqref="M7:M28"/>
    </sheetView>
  </sheetViews>
  <sheetFormatPr defaultRowHeight="14.25" x14ac:dyDescent="0.45"/>
  <cols>
    <col min="1" max="1" width="8.3984375"/>
    <col min="2" max="22" width="9.1328125" style="4"/>
    <col min="23" max="23" width="11.86328125" style="4"/>
    <col min="24" max="25" width="9.1328125" style="4"/>
    <col min="26" max="26" width="12.1328125" style="4"/>
    <col min="27" max="27" width="10.59765625" style="4" bestFit="1" customWidth="1"/>
    <col min="28" max="1025" width="8.3984375"/>
  </cols>
  <sheetData>
    <row r="1" spans="1:27" ht="18" customHeight="1" x14ac:dyDescent="0.55000000000000004">
      <c r="B1" s="93" t="s">
        <v>26</v>
      </c>
      <c r="C1" s="93"/>
      <c r="D1" s="93"/>
      <c r="E1" s="93"/>
      <c r="F1" s="93"/>
      <c r="G1" s="93"/>
      <c r="H1" s="93"/>
      <c r="I1" s="93"/>
      <c r="J1" s="93"/>
      <c r="K1" s="93"/>
      <c r="L1" s="93"/>
      <c r="M1" s="93"/>
      <c r="N1" s="93"/>
      <c r="O1" s="93"/>
      <c r="P1" s="93"/>
      <c r="Q1" s="93"/>
      <c r="R1" s="93"/>
      <c r="S1" s="93"/>
      <c r="T1" s="93"/>
      <c r="U1" s="93"/>
      <c r="V1" s="93"/>
      <c r="W1" s="93"/>
      <c r="X1" s="93"/>
      <c r="Y1" s="93"/>
      <c r="Z1" s="93"/>
      <c r="AA1" s="93"/>
    </row>
    <row r="2" spans="1:27" ht="14.25" customHeight="1" x14ac:dyDescent="0.45">
      <c r="B2" s="94" t="s">
        <v>12</v>
      </c>
      <c r="C2" s="94"/>
      <c r="D2" s="94"/>
      <c r="E2" s="94" t="s">
        <v>13</v>
      </c>
      <c r="F2" s="94"/>
      <c r="G2" s="94"/>
      <c r="H2" s="94" t="s">
        <v>14</v>
      </c>
      <c r="I2" s="94"/>
      <c r="J2" s="94"/>
      <c r="K2" s="94" t="s">
        <v>15</v>
      </c>
      <c r="L2" s="94"/>
      <c r="M2" s="94"/>
      <c r="N2" s="94" t="s">
        <v>16</v>
      </c>
      <c r="O2" s="94"/>
      <c r="P2" s="94"/>
      <c r="Q2" s="94"/>
      <c r="R2" s="94"/>
      <c r="S2" s="94"/>
      <c r="T2" s="94"/>
      <c r="U2" s="94" t="s">
        <v>17</v>
      </c>
      <c r="V2" s="94"/>
      <c r="W2" s="94"/>
      <c r="X2" s="94"/>
      <c r="Y2" s="94"/>
      <c r="Z2" s="94"/>
      <c r="AA2" s="94"/>
    </row>
    <row r="3" spans="1:27" ht="42.75" x14ac:dyDescent="0.45">
      <c r="A3" s="7" t="s">
        <v>2</v>
      </c>
      <c r="B3" s="8" t="s">
        <v>6</v>
      </c>
      <c r="C3" s="8" t="s">
        <v>7</v>
      </c>
      <c r="D3" s="9" t="s">
        <v>5</v>
      </c>
      <c r="E3" s="8" t="s">
        <v>6</v>
      </c>
      <c r="F3" s="8" t="s">
        <v>7</v>
      </c>
      <c r="G3" s="9" t="s">
        <v>5</v>
      </c>
      <c r="H3" s="8" t="s">
        <v>6</v>
      </c>
      <c r="I3" s="8" t="s">
        <v>7</v>
      </c>
      <c r="J3" s="9" t="s">
        <v>5</v>
      </c>
      <c r="K3" s="8" t="s">
        <v>6</v>
      </c>
      <c r="L3" s="8" t="s">
        <v>7</v>
      </c>
      <c r="M3" s="9" t="s">
        <v>5</v>
      </c>
      <c r="N3" s="8" t="s">
        <v>27</v>
      </c>
      <c r="O3" s="8" t="s">
        <v>28</v>
      </c>
      <c r="P3" s="8" t="s">
        <v>29</v>
      </c>
      <c r="Q3" s="8" t="s">
        <v>30</v>
      </c>
      <c r="R3" s="8" t="s">
        <v>31</v>
      </c>
      <c r="S3" s="8" t="s">
        <v>32</v>
      </c>
      <c r="T3" s="9" t="s">
        <v>5</v>
      </c>
      <c r="U3" s="8" t="s">
        <v>27</v>
      </c>
      <c r="V3" s="8" t="s">
        <v>28</v>
      </c>
      <c r="W3" s="8" t="s">
        <v>29</v>
      </c>
      <c r="X3" s="8" t="s">
        <v>30</v>
      </c>
      <c r="Y3" s="8" t="s">
        <v>31</v>
      </c>
      <c r="Z3" s="8" t="s">
        <v>32</v>
      </c>
      <c r="AA3" s="9" t="s">
        <v>5</v>
      </c>
    </row>
    <row r="4" spans="1:27" x14ac:dyDescent="0.45">
      <c r="A4" s="7">
        <v>1988</v>
      </c>
      <c r="B4" s="10">
        <v>41.047818170181799</v>
      </c>
      <c r="C4" s="10">
        <v>193.038506688713</v>
      </c>
      <c r="D4" s="10">
        <v>370.27714332680802</v>
      </c>
      <c r="E4" s="10">
        <v>280.50545344619098</v>
      </c>
      <c r="F4" s="10">
        <v>321.38625447627498</v>
      </c>
      <c r="G4" s="10">
        <v>14.573977271327999</v>
      </c>
      <c r="H4" s="10">
        <v>983.864994261015</v>
      </c>
      <c r="I4" s="10">
        <v>1451.6328759104399</v>
      </c>
      <c r="J4" s="10">
        <v>47.543909416226697</v>
      </c>
      <c r="K4" s="11"/>
      <c r="L4" s="12">
        <v>2257.5239477168602</v>
      </c>
      <c r="M4" s="11"/>
      <c r="N4" s="11"/>
      <c r="O4" s="11"/>
      <c r="P4" s="11"/>
      <c r="Q4" s="10">
        <v>5.5508509999999998</v>
      </c>
      <c r="R4" s="10">
        <v>9763.6115129999998</v>
      </c>
      <c r="S4" s="10">
        <f>((Q4*10^12)/(R4*10^3))/10^3</f>
        <v>568.52436136046413</v>
      </c>
      <c r="T4" s="11"/>
      <c r="U4" s="10">
        <v>2.3595495550000001</v>
      </c>
      <c r="V4" s="10">
        <v>18958.02</v>
      </c>
      <c r="W4" s="10">
        <f t="shared" ref="W4:W29" si="0">((U4*10^12)/(V4*10^3))/10^3</f>
        <v>124.46181378646082</v>
      </c>
      <c r="X4" s="10">
        <v>3.04312</v>
      </c>
      <c r="Y4" s="10">
        <v>8652.7790000000005</v>
      </c>
      <c r="Z4" s="10">
        <f>((X4*10^12)/(Y4*10^3))/10^3</f>
        <v>351.69279141418036</v>
      </c>
      <c r="AA4" s="10">
        <f>100*(Z4-W4)/W4</f>
        <v>182.57083897040084</v>
      </c>
    </row>
    <row r="5" spans="1:27" x14ac:dyDescent="0.45">
      <c r="A5" s="7">
        <v>1989</v>
      </c>
      <c r="B5" s="10">
        <v>40.7399334681133</v>
      </c>
      <c r="C5" s="10"/>
      <c r="D5" s="10"/>
      <c r="E5" s="10">
        <v>284.37419999999997</v>
      </c>
      <c r="F5" s="10"/>
      <c r="G5" s="10"/>
      <c r="H5" s="10">
        <v>1008.12391713933</v>
      </c>
      <c r="I5" s="10"/>
      <c r="J5" s="10"/>
      <c r="K5" s="11"/>
      <c r="L5" s="12"/>
      <c r="M5" s="12"/>
      <c r="N5" s="11"/>
      <c r="O5" s="11"/>
      <c r="P5" s="11"/>
      <c r="Q5" s="10"/>
      <c r="R5" s="10"/>
      <c r="S5" s="10"/>
      <c r="T5" s="10"/>
      <c r="U5" s="10">
        <v>2.5780951989999998</v>
      </c>
      <c r="V5" s="10">
        <v>19715.242999999999</v>
      </c>
      <c r="W5" s="10">
        <f t="shared" si="0"/>
        <v>130.76659511627628</v>
      </c>
      <c r="X5" s="10"/>
      <c r="Y5" s="10"/>
      <c r="Z5" s="10"/>
      <c r="AA5" s="10"/>
    </row>
    <row r="6" spans="1:27" x14ac:dyDescent="0.45">
      <c r="A6" s="7">
        <v>1990</v>
      </c>
      <c r="B6" s="10">
        <v>42.037664762947799</v>
      </c>
      <c r="C6" s="10"/>
      <c r="D6" s="10"/>
      <c r="E6" s="10">
        <v>311.48035051546401</v>
      </c>
      <c r="F6" s="10"/>
      <c r="G6" s="10"/>
      <c r="H6" s="10">
        <v>1008.24007867477</v>
      </c>
      <c r="I6" s="10"/>
      <c r="J6" s="10"/>
      <c r="K6" s="12">
        <v>4272.3101280066303</v>
      </c>
      <c r="L6" s="12"/>
      <c r="M6" s="12"/>
      <c r="N6" s="12">
        <v>10.687852748999999</v>
      </c>
      <c r="O6" s="12">
        <v>22079.481</v>
      </c>
      <c r="P6" s="10">
        <f t="shared" ref="P6:P29" si="1">((N6*10^12)/(O6*10^3))/10^3</f>
        <v>484.06268014180222</v>
      </c>
      <c r="Q6" s="10"/>
      <c r="R6" s="10"/>
      <c r="S6" s="10"/>
      <c r="T6" s="10"/>
      <c r="U6" s="10">
        <v>2.7904960220000001</v>
      </c>
      <c r="V6" s="10">
        <v>20230.983</v>
      </c>
      <c r="W6" s="10">
        <f t="shared" si="0"/>
        <v>137.93180598293222</v>
      </c>
      <c r="X6" s="10"/>
      <c r="Y6" s="10"/>
      <c r="Z6" s="10"/>
      <c r="AA6" s="10"/>
    </row>
    <row r="7" spans="1:27" x14ac:dyDescent="0.45">
      <c r="A7" s="7">
        <v>1991</v>
      </c>
      <c r="B7" s="10">
        <v>40.103938550442102</v>
      </c>
      <c r="C7" s="10">
        <v>306.39910141683299</v>
      </c>
      <c r="D7" s="10">
        <v>664.01249476145199</v>
      </c>
      <c r="E7" s="10">
        <v>318.71002308707102</v>
      </c>
      <c r="F7" s="10">
        <v>677.41718763417202</v>
      </c>
      <c r="G7" s="10">
        <v>112.549696765923</v>
      </c>
      <c r="H7" s="10">
        <v>974.80382753989204</v>
      </c>
      <c r="I7" s="10">
        <v>2676.1849811515899</v>
      </c>
      <c r="J7" s="10">
        <v>174.53574817258001</v>
      </c>
      <c r="K7" s="10">
        <v>4340.8117049491502</v>
      </c>
      <c r="L7" s="10">
        <v>2362.7763941555199</v>
      </c>
      <c r="M7" s="10">
        <v>-45.568327889882603</v>
      </c>
      <c r="N7" s="10">
        <v>10.746128225</v>
      </c>
      <c r="O7" s="10">
        <v>22507.404999999999</v>
      </c>
      <c r="P7" s="10">
        <f t="shared" si="1"/>
        <v>477.44856526107742</v>
      </c>
      <c r="Q7" s="10">
        <v>10.220679499999999</v>
      </c>
      <c r="R7" s="10">
        <v>12117.549070999999</v>
      </c>
      <c r="S7" s="10">
        <f>((Q7*10^12)/(R7*10^3))/10^3</f>
        <v>843.46095403569427</v>
      </c>
      <c r="T7" s="10">
        <f>100*(S7-P7)/P7</f>
        <v>76.660066739225556</v>
      </c>
      <c r="U7" s="10">
        <v>2.8393266819999998</v>
      </c>
      <c r="V7" s="10">
        <v>20685.901999999998</v>
      </c>
      <c r="W7" s="10">
        <f t="shared" si="0"/>
        <v>137.25902220749185</v>
      </c>
      <c r="X7" s="10">
        <v>6.8565294999999997</v>
      </c>
      <c r="Y7" s="10">
        <v>10693.73681</v>
      </c>
      <c r="Z7" s="10">
        <f>((X7*10^12)/(Y7*10^3))/10^3</f>
        <v>641.17245653439636</v>
      </c>
      <c r="AA7" s="10">
        <f>100*(Z7-W7)/W7</f>
        <v>367.12590999311374</v>
      </c>
    </row>
    <row r="8" spans="1:27" x14ac:dyDescent="0.45">
      <c r="A8" s="7">
        <v>1992</v>
      </c>
      <c r="B8" s="10">
        <v>40.805282631443703</v>
      </c>
      <c r="C8" s="10"/>
      <c r="D8" s="10"/>
      <c r="E8" s="10">
        <v>346.68485050505001</v>
      </c>
      <c r="F8" s="10"/>
      <c r="G8" s="10"/>
      <c r="H8" s="10">
        <v>1003.06145333379</v>
      </c>
      <c r="I8" s="10"/>
      <c r="J8" s="10"/>
      <c r="K8" s="10">
        <v>4581.3684370818</v>
      </c>
      <c r="L8" s="10"/>
      <c r="M8" s="10"/>
      <c r="N8" s="10">
        <v>11.199607719999999</v>
      </c>
      <c r="O8" s="10">
        <v>22836.941999999999</v>
      </c>
      <c r="P8" s="10">
        <f t="shared" si="1"/>
        <v>490.41626151172079</v>
      </c>
      <c r="Q8" s="10"/>
      <c r="R8" s="10"/>
      <c r="S8" s="10"/>
      <c r="T8" s="10"/>
      <c r="U8" s="10">
        <v>3.0313301670000001</v>
      </c>
      <c r="V8" s="10">
        <v>21054.008000000002</v>
      </c>
      <c r="W8" s="10">
        <f t="shared" si="0"/>
        <v>143.9787696005435</v>
      </c>
      <c r="X8" s="10"/>
      <c r="Y8" s="10"/>
      <c r="Z8" s="10"/>
      <c r="AA8" s="10"/>
    </row>
    <row r="9" spans="1:27" x14ac:dyDescent="0.45">
      <c r="A9" s="7">
        <v>1993</v>
      </c>
      <c r="B9" s="10">
        <v>41.185681530436803</v>
      </c>
      <c r="C9" s="10"/>
      <c r="D9" s="10"/>
      <c r="E9" s="10">
        <v>382.15198910081699</v>
      </c>
      <c r="F9" s="10"/>
      <c r="G9" s="10"/>
      <c r="H9" s="10">
        <v>1034.9363987999</v>
      </c>
      <c r="I9" s="10"/>
      <c r="J9" s="10"/>
      <c r="K9" s="10">
        <v>4773.2486386013898</v>
      </c>
      <c r="L9" s="10"/>
      <c r="M9" s="10"/>
      <c r="N9" s="10">
        <v>11.752202298</v>
      </c>
      <c r="O9" s="10">
        <v>23265.962</v>
      </c>
      <c r="P9" s="10">
        <f t="shared" si="1"/>
        <v>505.1242797525415</v>
      </c>
      <c r="Q9" s="10"/>
      <c r="R9" s="10"/>
      <c r="S9" s="10"/>
      <c r="T9" s="10"/>
      <c r="U9" s="10">
        <v>3.27524207</v>
      </c>
      <c r="V9" s="10">
        <v>21490.030999999999</v>
      </c>
      <c r="W9" s="10">
        <f t="shared" si="0"/>
        <v>152.40750792774566</v>
      </c>
      <c r="X9" s="10"/>
      <c r="Y9" s="10"/>
      <c r="Z9" s="10"/>
      <c r="AA9" s="10"/>
    </row>
    <row r="10" spans="1:27" x14ac:dyDescent="0.45">
      <c r="A10" s="7">
        <v>1994</v>
      </c>
      <c r="B10" s="10">
        <v>42.318207433656802</v>
      </c>
      <c r="C10" s="10">
        <v>122.06866508625799</v>
      </c>
      <c r="D10" s="10">
        <v>188.45424343086199</v>
      </c>
      <c r="E10" s="10">
        <v>439.19585140562299</v>
      </c>
      <c r="F10" s="10">
        <v>1264.56539855609</v>
      </c>
      <c r="G10" s="10">
        <v>187.927446151624</v>
      </c>
      <c r="H10" s="10">
        <v>1073.97159190297</v>
      </c>
      <c r="I10" s="10">
        <v>1480.1727616537801</v>
      </c>
      <c r="J10" s="10">
        <v>37.822338394544197</v>
      </c>
      <c r="K10" s="10">
        <v>4562.5545915139301</v>
      </c>
      <c r="L10" s="10">
        <v>17648.508343276299</v>
      </c>
      <c r="M10" s="10">
        <v>286.81199291514099</v>
      </c>
      <c r="N10" s="10">
        <v>12.910562583000001</v>
      </c>
      <c r="O10" s="10">
        <v>23952.819</v>
      </c>
      <c r="P10" s="10">
        <f t="shared" si="1"/>
        <v>538.99971368714466</v>
      </c>
      <c r="Q10" s="10">
        <v>22.9998437</v>
      </c>
      <c r="R10" s="10">
        <v>11365.061507</v>
      </c>
      <c r="S10" s="10">
        <f>((Q10*10^12)/(R10*10^3))/10^3</f>
        <v>2023.7324440201112</v>
      </c>
      <c r="T10" s="10">
        <f>100*(S10-P10)/P10</f>
        <v>275.46076419527753</v>
      </c>
      <c r="U10" s="10">
        <v>3.6081069029999999</v>
      </c>
      <c r="V10" s="10">
        <v>21913.949000000001</v>
      </c>
      <c r="W10" s="10">
        <f t="shared" si="0"/>
        <v>164.64886830757888</v>
      </c>
      <c r="X10" s="10">
        <v>4.9358927000000001</v>
      </c>
      <c r="Y10" s="10">
        <v>10341.52169</v>
      </c>
      <c r="Z10" s="10">
        <f>((X10*10^12)/(Y10*10^3))/10^3</f>
        <v>477.28882150611247</v>
      </c>
      <c r="AA10" s="10">
        <f>100*(Z10-W10)/W10</f>
        <v>189.88284366127198</v>
      </c>
    </row>
    <row r="11" spans="1:27" x14ac:dyDescent="0.45">
      <c r="A11" s="7">
        <v>1995</v>
      </c>
      <c r="B11" s="10">
        <v>45.230308507993399</v>
      </c>
      <c r="C11" s="10"/>
      <c r="D11" s="10"/>
      <c r="E11" s="10">
        <v>481.09911132194799</v>
      </c>
      <c r="F11" s="10"/>
      <c r="G11" s="10"/>
      <c r="H11" s="10">
        <v>1099.08177532222</v>
      </c>
      <c r="I11" s="10"/>
      <c r="J11" s="10"/>
      <c r="K11" s="10">
        <v>4890.7115697190302</v>
      </c>
      <c r="L11" s="10"/>
      <c r="M11" s="10"/>
      <c r="N11" s="10">
        <v>13.966029730000001</v>
      </c>
      <c r="O11" s="10">
        <v>24421.052</v>
      </c>
      <c r="P11" s="10">
        <f t="shared" si="1"/>
        <v>571.88485287202207</v>
      </c>
      <c r="Q11" s="10"/>
      <c r="R11" s="10"/>
      <c r="S11" s="10"/>
      <c r="T11" s="10"/>
      <c r="U11" s="10">
        <v>3.9703053910000001</v>
      </c>
      <c r="V11" s="10">
        <v>22377.234</v>
      </c>
      <c r="W11" s="10">
        <f t="shared" si="0"/>
        <v>177.42610150119538</v>
      </c>
      <c r="X11" s="10"/>
      <c r="Y11" s="10"/>
      <c r="Z11" s="10"/>
      <c r="AA11" s="10"/>
    </row>
    <row r="12" spans="1:27" x14ac:dyDescent="0.45">
      <c r="A12" s="7">
        <v>1996</v>
      </c>
      <c r="B12" s="10">
        <v>43.4385305830085</v>
      </c>
      <c r="C12" s="10"/>
      <c r="D12" s="10"/>
      <c r="E12" s="10">
        <v>555.73082766990296</v>
      </c>
      <c r="F12" s="10"/>
      <c r="G12" s="10"/>
      <c r="H12" s="10">
        <v>1116.1131479732801</v>
      </c>
      <c r="I12" s="10"/>
      <c r="J12" s="10"/>
      <c r="K12" s="10">
        <v>4973.6905191721498</v>
      </c>
      <c r="L12" s="10"/>
      <c r="M12" s="10"/>
      <c r="N12" s="10">
        <v>14.576825155</v>
      </c>
      <c r="O12" s="10">
        <v>25157.805</v>
      </c>
      <c r="P12" s="10">
        <f t="shared" si="1"/>
        <v>579.41561893018877</v>
      </c>
      <c r="Q12" s="10"/>
      <c r="R12" s="10"/>
      <c r="S12" s="10"/>
      <c r="T12" s="10"/>
      <c r="U12" s="10">
        <v>4.3193792760000003</v>
      </c>
      <c r="V12" s="10">
        <v>23095.464</v>
      </c>
      <c r="W12" s="10">
        <f t="shared" si="0"/>
        <v>187.02284032916594</v>
      </c>
      <c r="X12" s="10"/>
      <c r="Y12" s="10"/>
      <c r="Z12" s="10"/>
      <c r="AA12" s="10"/>
    </row>
    <row r="13" spans="1:27" x14ac:dyDescent="0.45">
      <c r="A13" s="7">
        <v>1997</v>
      </c>
      <c r="B13" s="10">
        <v>44.393291128852098</v>
      </c>
      <c r="C13" s="10">
        <v>140.82501486010699</v>
      </c>
      <c r="D13" s="10">
        <v>217.22138926659099</v>
      </c>
      <c r="E13" s="10">
        <v>653.67109616485402</v>
      </c>
      <c r="F13" s="10">
        <v>557.97001396509802</v>
      </c>
      <c r="G13" s="10">
        <v>-14.640555894431101</v>
      </c>
      <c r="H13" s="10">
        <v>1158.3726412516801</v>
      </c>
      <c r="I13" s="10">
        <v>1673.7009990894101</v>
      </c>
      <c r="J13" s="10">
        <v>44.487269423152703</v>
      </c>
      <c r="K13" s="10">
        <v>5343.5361820141197</v>
      </c>
      <c r="L13" s="10">
        <v>2102.8561842724498</v>
      </c>
      <c r="M13" s="10">
        <v>-60.646730692112101</v>
      </c>
      <c r="N13" s="10">
        <v>15.580831688</v>
      </c>
      <c r="O13" s="10">
        <v>25546.561000000002</v>
      </c>
      <c r="P13" s="10">
        <f t="shared" si="1"/>
        <v>609.89937894184663</v>
      </c>
      <c r="Q13" s="10">
        <v>7.2976640000000002</v>
      </c>
      <c r="R13" s="10">
        <v>11459.870113999999</v>
      </c>
      <c r="S13" s="10">
        <f>((Q13*10^12)/(R13*10^3))/10^3</f>
        <v>636.80163277634165</v>
      </c>
      <c r="T13" s="10">
        <f>100*(S13-P13)/P13</f>
        <v>4.4109331413272548</v>
      </c>
      <c r="U13" s="10">
        <v>4.8410399960000001</v>
      </c>
      <c r="V13" s="10">
        <v>23536.695</v>
      </c>
      <c r="W13" s="10">
        <f t="shared" si="0"/>
        <v>205.68053399170955</v>
      </c>
      <c r="X13" s="10">
        <v>4.6006299999999998</v>
      </c>
      <c r="Y13" s="10">
        <v>10177.312599999999</v>
      </c>
      <c r="Z13" s="10">
        <f>((X13*10^12)/(Y13*10^3))/10^3</f>
        <v>452.04762601081939</v>
      </c>
      <c r="AA13" s="10">
        <f>100*(Z13-W13)/W13</f>
        <v>119.78143348706021</v>
      </c>
    </row>
    <row r="14" spans="1:27" x14ac:dyDescent="0.45">
      <c r="A14" s="7">
        <v>1998</v>
      </c>
      <c r="B14" s="10">
        <v>46.415775286305802</v>
      </c>
      <c r="C14" s="10"/>
      <c r="D14" s="10"/>
      <c r="E14" s="10">
        <v>760.45734529148001</v>
      </c>
      <c r="F14" s="10"/>
      <c r="G14" s="10"/>
      <c r="H14" s="10">
        <v>1160.7483725437501</v>
      </c>
      <c r="I14" s="10"/>
      <c r="J14" s="10"/>
      <c r="K14" s="10">
        <v>5443.7773260089698</v>
      </c>
      <c r="L14" s="10"/>
      <c r="M14" s="10"/>
      <c r="N14" s="10">
        <v>16.272844057</v>
      </c>
      <c r="O14" s="10">
        <v>25894.670999999998</v>
      </c>
      <c r="P14" s="10">
        <f t="shared" si="1"/>
        <v>628.42443748368146</v>
      </c>
      <c r="Q14" s="10"/>
      <c r="R14" s="10"/>
      <c r="S14" s="10"/>
      <c r="T14" s="10"/>
      <c r="U14" s="10">
        <v>5.2659128119999998</v>
      </c>
      <c r="V14" s="10">
        <v>23872.741999999998</v>
      </c>
      <c r="W14" s="10">
        <f t="shared" si="0"/>
        <v>220.58265497947409</v>
      </c>
      <c r="X14" s="10"/>
      <c r="Y14" s="10"/>
      <c r="Z14" s="10"/>
      <c r="AA14" s="10"/>
    </row>
    <row r="15" spans="1:27" x14ac:dyDescent="0.45">
      <c r="A15" s="7">
        <v>1999</v>
      </c>
      <c r="B15" s="10">
        <v>48.689966048738</v>
      </c>
      <c r="C15" s="10"/>
      <c r="D15" s="10"/>
      <c r="E15" s="10">
        <v>858.07872809346804</v>
      </c>
      <c r="F15" s="10"/>
      <c r="G15" s="10"/>
      <c r="H15" s="10">
        <v>1189.67905604828</v>
      </c>
      <c r="I15" s="10"/>
      <c r="J15" s="10"/>
      <c r="K15" s="10">
        <v>6026.1314904738501</v>
      </c>
      <c r="L15" s="10"/>
      <c r="M15" s="10"/>
      <c r="N15" s="10">
        <v>17.810671929000002</v>
      </c>
      <c r="O15" s="10">
        <v>26221.508999999998</v>
      </c>
      <c r="P15" s="10">
        <f t="shared" si="1"/>
        <v>679.23901439081931</v>
      </c>
      <c r="Q15" s="10"/>
      <c r="R15" s="10"/>
      <c r="S15" s="10"/>
      <c r="T15" s="10"/>
      <c r="U15" s="10">
        <v>5.8139518020000001</v>
      </c>
      <c r="V15" s="10">
        <v>24230.725999999999</v>
      </c>
      <c r="W15" s="10">
        <f t="shared" si="0"/>
        <v>239.94129610478859</v>
      </c>
      <c r="X15" s="10"/>
      <c r="Y15" s="10"/>
      <c r="Z15" s="10"/>
      <c r="AA15" s="10"/>
    </row>
    <row r="16" spans="1:27" x14ac:dyDescent="0.45">
      <c r="A16" s="7">
        <v>2000</v>
      </c>
      <c r="B16" s="10">
        <v>50.481937083161498</v>
      </c>
      <c r="C16" s="10">
        <v>129.365156084689</v>
      </c>
      <c r="D16" s="10">
        <v>156.260285479099</v>
      </c>
      <c r="E16" s="10">
        <v>1035.0222063253</v>
      </c>
      <c r="F16" s="10">
        <v>894.73399915280004</v>
      </c>
      <c r="G16" s="10">
        <v>-13.554125342931</v>
      </c>
      <c r="H16" s="10">
        <v>1243.7257570238301</v>
      </c>
      <c r="I16" s="10">
        <v>1494.3577386382899</v>
      </c>
      <c r="J16" s="10">
        <v>20.1517078985494</v>
      </c>
      <c r="K16" s="10">
        <v>6527.6751601018304</v>
      </c>
      <c r="L16" s="10">
        <v>1733.76930778929</v>
      </c>
      <c r="M16" s="10">
        <v>-73.439712221184706</v>
      </c>
      <c r="N16" s="10">
        <v>19.491954824</v>
      </c>
      <c r="O16" s="10">
        <v>26789.77</v>
      </c>
      <c r="P16" s="10">
        <f t="shared" si="1"/>
        <v>727.58948001419947</v>
      </c>
      <c r="Q16" s="10">
        <v>7.8790620000000002</v>
      </c>
      <c r="R16" s="10">
        <v>12623.815893999999</v>
      </c>
      <c r="S16" s="10">
        <f>((Q16*10^12)/(R16*10^3))/10^3</f>
        <v>624.14265751014761</v>
      </c>
      <c r="T16" s="10">
        <f>100*(S16-P16)/P16</f>
        <v>-14.217745768126418</v>
      </c>
      <c r="U16" s="10">
        <v>6.627362755</v>
      </c>
      <c r="V16" s="10">
        <v>24818.992999999999</v>
      </c>
      <c r="W16" s="10">
        <f t="shared" si="0"/>
        <v>267.0278667228763</v>
      </c>
      <c r="X16" s="10">
        <v>5.7610999999999999</v>
      </c>
      <c r="Y16" s="10">
        <v>11402.222</v>
      </c>
      <c r="Z16" s="10">
        <f>((X16*10^12)/(Y16*10^3))/10^3</f>
        <v>505.26116751629638</v>
      </c>
      <c r="AA16" s="10">
        <f>100*(Z16-W16)/W16</f>
        <v>89.216643834652871</v>
      </c>
    </row>
    <row r="17" spans="1:27" x14ac:dyDescent="0.45">
      <c r="A17" s="7">
        <v>2001</v>
      </c>
      <c r="B17" s="10">
        <v>49.979436188468597</v>
      </c>
      <c r="C17" s="10"/>
      <c r="D17" s="10"/>
      <c r="E17" s="10">
        <v>1104.84991561591</v>
      </c>
      <c r="F17" s="10"/>
      <c r="G17" s="10"/>
      <c r="H17" s="10">
        <v>1235.9408853749901</v>
      </c>
      <c r="I17" s="10"/>
      <c r="J17" s="10"/>
      <c r="K17" s="10">
        <v>6557.5461490187599</v>
      </c>
      <c r="L17" s="10"/>
      <c r="M17" s="10"/>
      <c r="N17" s="10">
        <v>19.681990939999999</v>
      </c>
      <c r="O17" s="10">
        <v>27329.612000000001</v>
      </c>
      <c r="P17" s="10">
        <f t="shared" si="1"/>
        <v>720.17088789990873</v>
      </c>
      <c r="Q17" s="10"/>
      <c r="R17" s="10"/>
      <c r="S17" s="10"/>
      <c r="T17" s="10"/>
      <c r="U17" s="10">
        <v>6.9861553550000002</v>
      </c>
      <c r="V17" s="10">
        <v>25393.546999999999</v>
      </c>
      <c r="W17" s="10">
        <f t="shared" si="0"/>
        <v>275.11538088790826</v>
      </c>
      <c r="X17" s="10"/>
      <c r="Y17" s="10"/>
      <c r="Z17" s="10"/>
      <c r="AA17" s="10"/>
    </row>
    <row r="18" spans="1:27" x14ac:dyDescent="0.45">
      <c r="A18" s="7">
        <v>2002</v>
      </c>
      <c r="B18" s="10">
        <v>49.219061662173999</v>
      </c>
      <c r="C18" s="10"/>
      <c r="D18" s="10"/>
      <c r="E18" s="10">
        <v>1106.91751169188</v>
      </c>
      <c r="F18" s="10"/>
      <c r="G18" s="10"/>
      <c r="H18" s="10">
        <v>1217.76220978025</v>
      </c>
      <c r="I18" s="10"/>
      <c r="J18" s="10"/>
      <c r="K18" s="10">
        <v>6403.6182956399898</v>
      </c>
      <c r="L18" s="10"/>
      <c r="M18" s="10"/>
      <c r="N18" s="10">
        <v>19.496655133000001</v>
      </c>
      <c r="O18" s="10">
        <v>28162.934000000001</v>
      </c>
      <c r="P18" s="10">
        <f t="shared" si="1"/>
        <v>692.28068116056374</v>
      </c>
      <c r="Q18" s="10"/>
      <c r="R18" s="10"/>
      <c r="S18" s="10"/>
      <c r="T18" s="10"/>
      <c r="U18" s="10">
        <v>7.2851599589999996</v>
      </c>
      <c r="V18" s="10">
        <v>26255.966</v>
      </c>
      <c r="W18" s="10">
        <f t="shared" si="0"/>
        <v>277.46684159325923</v>
      </c>
      <c r="X18" s="10"/>
      <c r="Y18" s="10"/>
      <c r="Z18" s="10"/>
      <c r="AA18" s="10"/>
    </row>
    <row r="19" spans="1:27" x14ac:dyDescent="0.45">
      <c r="A19" s="7">
        <v>2003</v>
      </c>
      <c r="B19" s="10">
        <v>48.380384752613097</v>
      </c>
      <c r="C19" s="10">
        <v>136.28761778587901</v>
      </c>
      <c r="D19" s="10">
        <v>181.70015282591999</v>
      </c>
      <c r="E19" s="10">
        <v>1099.14173834197</v>
      </c>
      <c r="F19" s="10">
        <v>1261.30368896198</v>
      </c>
      <c r="G19" s="10">
        <v>14.7535067556098</v>
      </c>
      <c r="H19" s="10">
        <v>1242.6255824295299</v>
      </c>
      <c r="I19" s="10">
        <v>2694.1596327883399</v>
      </c>
      <c r="J19" s="10">
        <v>116.811859572442</v>
      </c>
      <c r="K19" s="10">
        <v>6918.37017075719</v>
      </c>
      <c r="L19" s="10">
        <v>1234.0077253853001</v>
      </c>
      <c r="M19" s="10">
        <v>-82.163317444313094</v>
      </c>
      <c r="N19" s="10">
        <v>20.600207774000001</v>
      </c>
      <c r="O19" s="10">
        <v>29222.468000000001</v>
      </c>
      <c r="P19" s="10">
        <f t="shared" si="1"/>
        <v>704.94414688040729</v>
      </c>
      <c r="Q19" s="10">
        <v>11.497113000000001</v>
      </c>
      <c r="R19" s="10">
        <v>13378.131491</v>
      </c>
      <c r="S19" s="10">
        <f>((Q19*10^12)/(R19*10^3))/10^3</f>
        <v>859.3960231093979</v>
      </c>
      <c r="T19" s="10">
        <f>100*(S19-P19)/P19</f>
        <v>21.909803338674028</v>
      </c>
      <c r="U19" s="10">
        <v>7.7481798140000002</v>
      </c>
      <c r="V19" s="10">
        <v>27364.800999999999</v>
      </c>
      <c r="W19" s="10">
        <f t="shared" si="0"/>
        <v>283.14402191340622</v>
      </c>
      <c r="X19" s="10">
        <v>9.9740950000000002</v>
      </c>
      <c r="Y19" s="10">
        <v>12143.9269</v>
      </c>
      <c r="Z19" s="10">
        <f>((X19*10^12)/(Y19*10^3))/10^3</f>
        <v>821.32370213789739</v>
      </c>
      <c r="AA19" s="10">
        <f>100*(Z19-W19)/W19</f>
        <v>190.07276812260667</v>
      </c>
    </row>
    <row r="20" spans="1:27" x14ac:dyDescent="0.45">
      <c r="A20" s="7">
        <v>2004</v>
      </c>
      <c r="B20" s="10">
        <v>50.484083756908603</v>
      </c>
      <c r="C20" s="10"/>
      <c r="D20" s="10"/>
      <c r="E20" s="10">
        <v>1133.4384089264199</v>
      </c>
      <c r="F20" s="10"/>
      <c r="G20" s="10"/>
      <c r="H20" s="10">
        <v>1320.4243030934499</v>
      </c>
      <c r="I20" s="10"/>
      <c r="J20" s="10"/>
      <c r="K20" s="10">
        <v>7606.8240799393798</v>
      </c>
      <c r="L20" s="10"/>
      <c r="M20" s="10"/>
      <c r="N20" s="10">
        <v>22.557960826999999</v>
      </c>
      <c r="O20" s="10">
        <v>30411.665000000001</v>
      </c>
      <c r="P20" s="10">
        <f t="shared" si="1"/>
        <v>741.75356156922032</v>
      </c>
      <c r="Q20" s="10"/>
      <c r="R20" s="10"/>
      <c r="S20" s="10"/>
      <c r="T20" s="10"/>
      <c r="U20" s="10">
        <v>8.6040788030000002</v>
      </c>
      <c r="V20" s="10">
        <v>28577.275000000001</v>
      </c>
      <c r="W20" s="10">
        <f t="shared" si="0"/>
        <v>301.08114937480917</v>
      </c>
      <c r="X20" s="10"/>
      <c r="Y20" s="10"/>
      <c r="Z20" s="10"/>
      <c r="AA20" s="10"/>
    </row>
    <row r="21" spans="1:27" x14ac:dyDescent="0.45">
      <c r="A21" s="7">
        <v>2005</v>
      </c>
      <c r="B21" s="10">
        <v>52.0985005622545</v>
      </c>
      <c r="C21" s="10"/>
      <c r="D21" s="10"/>
      <c r="E21" s="10">
        <v>1211.2471185376701</v>
      </c>
      <c r="F21" s="10"/>
      <c r="G21" s="10"/>
      <c r="H21" s="10">
        <v>1397.0946278127101</v>
      </c>
      <c r="I21" s="10"/>
      <c r="J21" s="10"/>
      <c r="K21" s="10">
        <v>8446.0919128883706</v>
      </c>
      <c r="L21" s="10"/>
      <c r="M21" s="10"/>
      <c r="N21" s="10">
        <v>24.848949966999999</v>
      </c>
      <c r="O21" s="10">
        <v>31664.080999999998</v>
      </c>
      <c r="P21" s="10">
        <f t="shared" si="1"/>
        <v>784.76776152132754</v>
      </c>
      <c r="Q21" s="10"/>
      <c r="R21" s="10"/>
      <c r="S21" s="10"/>
      <c r="T21" s="10"/>
      <c r="U21" s="10">
        <v>9.6499541870000005</v>
      </c>
      <c r="V21" s="10">
        <v>29864.550999999999</v>
      </c>
      <c r="W21" s="10">
        <f t="shared" si="0"/>
        <v>323.124033808511</v>
      </c>
      <c r="X21" s="10"/>
      <c r="Y21" s="10"/>
      <c r="Z21" s="10"/>
      <c r="AA21" s="10"/>
    </row>
    <row r="22" spans="1:27" x14ac:dyDescent="0.45">
      <c r="A22" s="7">
        <v>2006</v>
      </c>
      <c r="B22" s="10">
        <v>53.191352297024103</v>
      </c>
      <c r="C22" s="10">
        <v>126.317753761126</v>
      </c>
      <c r="D22" s="10">
        <v>137.47798900798699</v>
      </c>
      <c r="E22" s="10">
        <v>1235.73755017301</v>
      </c>
      <c r="F22" s="10">
        <v>1171.8904458812899</v>
      </c>
      <c r="G22" s="10">
        <v>-5.16672041589909</v>
      </c>
      <c r="H22" s="10">
        <v>1471.76539971689</v>
      </c>
      <c r="I22" s="10">
        <v>2359.4251702975998</v>
      </c>
      <c r="J22" s="10">
        <v>60.312585874858101</v>
      </c>
      <c r="K22" s="10">
        <v>9338.0465980048193</v>
      </c>
      <c r="L22" s="10">
        <v>3284.9588791616502</v>
      </c>
      <c r="M22" s="10">
        <v>-64.821776752928997</v>
      </c>
      <c r="N22" s="10">
        <v>26.604758701000002</v>
      </c>
      <c r="O22" s="10">
        <v>32515.335999999999</v>
      </c>
      <c r="P22" s="10">
        <f t="shared" si="1"/>
        <v>818.22186001707007</v>
      </c>
      <c r="Q22" s="10">
        <v>12.968344999999999</v>
      </c>
      <c r="R22" s="10">
        <v>13734.416722</v>
      </c>
      <c r="S22" s="10">
        <f>((Q22*10^12)/(R22*10^3))/10^3</f>
        <v>944.22247864571534</v>
      </c>
      <c r="T22" s="10">
        <f>100*(S22-P22)/P22</f>
        <v>15.399321967029408</v>
      </c>
      <c r="U22" s="10">
        <v>10.549444311</v>
      </c>
      <c r="V22" s="10">
        <v>30795.991999999998</v>
      </c>
      <c r="W22" s="10">
        <f t="shared" si="0"/>
        <v>342.5590028403696</v>
      </c>
      <c r="X22" s="10">
        <v>9.7193799999999992</v>
      </c>
      <c r="Y22" s="10">
        <v>12745.373900000001</v>
      </c>
      <c r="Z22" s="10">
        <f>((X22*10^12)/(Y22*10^3))/10^3</f>
        <v>762.58100203713911</v>
      </c>
      <c r="AA22" s="10">
        <f>100*(Z22-W22)/W22</f>
        <v>122.61303767062202</v>
      </c>
    </row>
    <row r="23" spans="1:27" x14ac:dyDescent="0.45">
      <c r="A23" s="7">
        <v>2007</v>
      </c>
      <c r="B23" s="10">
        <v>52.763715476429503</v>
      </c>
      <c r="C23" s="10"/>
      <c r="D23" s="10"/>
      <c r="E23" s="10">
        <v>1261.73626041325</v>
      </c>
      <c r="F23" s="10"/>
      <c r="G23" s="10"/>
      <c r="H23" s="10">
        <v>1497.3326608006801</v>
      </c>
      <c r="I23" s="10"/>
      <c r="J23" s="10"/>
      <c r="K23" s="10">
        <v>9056.38229619302</v>
      </c>
      <c r="L23" s="10"/>
      <c r="M23" s="10"/>
      <c r="N23" s="10">
        <v>27.864929314000001</v>
      </c>
      <c r="O23" s="10">
        <v>33985.667999999998</v>
      </c>
      <c r="P23" s="10">
        <f t="shared" si="1"/>
        <v>819.90235748786813</v>
      </c>
      <c r="Q23" s="10"/>
      <c r="R23" s="10"/>
      <c r="S23" s="10"/>
      <c r="T23" s="10"/>
      <c r="U23" s="10">
        <v>11.145634039999999</v>
      </c>
      <c r="V23" s="10">
        <v>32139.534</v>
      </c>
      <c r="W23" s="10">
        <f t="shared" si="0"/>
        <v>346.7889123719093</v>
      </c>
      <c r="X23" s="10"/>
      <c r="Y23" s="10"/>
      <c r="Z23" s="10"/>
      <c r="AA23" s="10"/>
    </row>
    <row r="24" spans="1:27" x14ac:dyDescent="0.45">
      <c r="A24" s="7">
        <v>2008</v>
      </c>
      <c r="B24" s="10">
        <v>53.636275642047899</v>
      </c>
      <c r="C24" s="10"/>
      <c r="D24" s="10"/>
      <c r="E24" s="10">
        <v>1400.34530077369</v>
      </c>
      <c r="F24" s="10"/>
      <c r="G24" s="10"/>
      <c r="H24" s="10">
        <v>1484.7840476312799</v>
      </c>
      <c r="I24" s="10"/>
      <c r="J24" s="10"/>
      <c r="K24" s="10">
        <v>9690.0164063993798</v>
      </c>
      <c r="L24" s="10"/>
      <c r="M24" s="10"/>
      <c r="N24" s="10">
        <v>28.753095558999998</v>
      </c>
      <c r="O24" s="10">
        <v>33476.964</v>
      </c>
      <c r="P24" s="10">
        <f t="shared" si="1"/>
        <v>858.89196998270222</v>
      </c>
      <c r="Q24" s="10"/>
      <c r="R24" s="10"/>
      <c r="S24" s="10"/>
      <c r="T24" s="10"/>
      <c r="U24" s="10">
        <v>11.674606373</v>
      </c>
      <c r="V24" s="10">
        <v>31714.481</v>
      </c>
      <c r="W24" s="10">
        <f t="shared" si="0"/>
        <v>368.11595223645628</v>
      </c>
      <c r="X24" s="10"/>
      <c r="Y24" s="10"/>
      <c r="Z24" s="10"/>
      <c r="AA24" s="10"/>
    </row>
    <row r="25" spans="1:27" x14ac:dyDescent="0.45">
      <c r="A25" s="7">
        <v>2009</v>
      </c>
      <c r="B25" s="10">
        <v>47.9347537177349</v>
      </c>
      <c r="C25" s="10">
        <v>152.80363964448199</v>
      </c>
      <c r="D25" s="10">
        <v>218.774224948084</v>
      </c>
      <c r="E25" s="10">
        <v>1146.1631486486499</v>
      </c>
      <c r="F25" s="10">
        <v>899.20854907889895</v>
      </c>
      <c r="G25" s="10">
        <v>-21.546199584318799</v>
      </c>
      <c r="H25" s="10">
        <v>1290.84654524709</v>
      </c>
      <c r="I25" s="10">
        <v>2519.20435041975</v>
      </c>
      <c r="J25" s="10">
        <v>95.159088405627799</v>
      </c>
      <c r="K25" s="10">
        <v>8623.7763939277902</v>
      </c>
      <c r="L25" s="10">
        <v>3480.5919708446499</v>
      </c>
      <c r="M25" s="10">
        <v>-59.639584656955897</v>
      </c>
      <c r="N25" s="10">
        <v>24.642334644000002</v>
      </c>
      <c r="O25" s="10">
        <v>33481.620999999999</v>
      </c>
      <c r="P25" s="10">
        <f t="shared" si="1"/>
        <v>735.99586603050079</v>
      </c>
      <c r="Q25" s="10">
        <v>11.935885000000001</v>
      </c>
      <c r="R25" s="10">
        <v>14164.760516</v>
      </c>
      <c r="S25" s="10">
        <f>((Q25*10^12)/(R25*10^3))/10^3</f>
        <v>842.64643842849694</v>
      </c>
      <c r="T25" s="10">
        <f>100*(S25-P25)/P25</f>
        <v>14.490648293067503</v>
      </c>
      <c r="U25" s="10">
        <v>10.026163371000001</v>
      </c>
      <c r="V25" s="10">
        <v>31786.752</v>
      </c>
      <c r="W25" s="10">
        <f t="shared" si="0"/>
        <v>315.41956130025488</v>
      </c>
      <c r="X25" s="10">
        <v>9.3226999999999993</v>
      </c>
      <c r="Y25" s="10">
        <v>13413.973</v>
      </c>
      <c r="Z25" s="10">
        <f>((X25*10^12)/(Y25*10^3))/10^3</f>
        <v>694.99916244053861</v>
      </c>
      <c r="AA25" s="10">
        <f>100*(Z25-W25)/W25</f>
        <v>120.34117338047828</v>
      </c>
    </row>
    <row r="26" spans="1:27" x14ac:dyDescent="0.45">
      <c r="A26" s="7">
        <v>2010</v>
      </c>
      <c r="B26" s="10">
        <v>47.988743701705999</v>
      </c>
      <c r="C26" s="10"/>
      <c r="D26" s="10"/>
      <c r="E26" s="10">
        <v>1234.41474757585</v>
      </c>
      <c r="F26" s="10"/>
      <c r="G26" s="10"/>
      <c r="H26" s="10">
        <v>1348.7896819763</v>
      </c>
      <c r="I26" s="10"/>
      <c r="J26" s="10"/>
      <c r="K26" s="10">
        <v>9652.7478537669394</v>
      </c>
      <c r="L26" s="10"/>
      <c r="M26" s="10"/>
      <c r="N26" s="10">
        <v>26.629297068</v>
      </c>
      <c r="O26" s="10">
        <v>33886.735999999997</v>
      </c>
      <c r="P26" s="10">
        <f t="shared" si="1"/>
        <v>785.83245869416282</v>
      </c>
      <c r="Q26" s="10"/>
      <c r="R26" s="10"/>
      <c r="S26" s="10"/>
      <c r="T26" s="10"/>
      <c r="U26" s="10">
        <v>10.709164824</v>
      </c>
      <c r="V26" s="10">
        <v>32237.451000000001</v>
      </c>
      <c r="W26" s="10">
        <f t="shared" si="0"/>
        <v>332.19638934852509</v>
      </c>
      <c r="X26" s="10"/>
      <c r="Y26" s="10"/>
      <c r="Z26" s="10"/>
      <c r="AA26" s="10"/>
    </row>
    <row r="27" spans="1:27" x14ac:dyDescent="0.45">
      <c r="A27" s="7">
        <v>2011</v>
      </c>
      <c r="B27" s="10">
        <v>50.0486988531893</v>
      </c>
      <c r="C27" s="10"/>
      <c r="D27" s="10"/>
      <c r="E27" s="10">
        <v>1375.2914035196</v>
      </c>
      <c r="F27" s="10"/>
      <c r="G27" s="10"/>
      <c r="H27" s="10">
        <v>1467.3563242382199</v>
      </c>
      <c r="I27" s="10"/>
      <c r="J27" s="10"/>
      <c r="K27" s="10">
        <v>10709.799980060199</v>
      </c>
      <c r="L27" s="10"/>
      <c r="M27" s="10"/>
      <c r="N27" s="10">
        <v>29.224840446000002</v>
      </c>
      <c r="O27" s="10">
        <v>34316.608</v>
      </c>
      <c r="P27" s="10">
        <f t="shared" si="1"/>
        <v>851.62380984740685</v>
      </c>
      <c r="Q27" s="10"/>
      <c r="R27" s="10"/>
      <c r="S27" s="10"/>
      <c r="T27" s="10"/>
      <c r="U27" s="10">
        <v>11.822614976000001</v>
      </c>
      <c r="V27" s="10">
        <v>32691.72</v>
      </c>
      <c r="W27" s="10">
        <f t="shared" si="0"/>
        <v>361.63942967821822</v>
      </c>
      <c r="X27" s="10"/>
      <c r="Y27" s="10"/>
      <c r="Z27" s="10"/>
      <c r="AA27" s="10"/>
    </row>
    <row r="28" spans="1:27" x14ac:dyDescent="0.45">
      <c r="A28" s="7">
        <v>2012</v>
      </c>
      <c r="B28" s="10">
        <v>51.264018628460299</v>
      </c>
      <c r="C28" s="10">
        <v>181.007722295511</v>
      </c>
      <c r="D28" s="10">
        <v>253.08921761943299</v>
      </c>
      <c r="E28" s="10">
        <v>1407.8963896727701</v>
      </c>
      <c r="F28" s="10">
        <v>1061.5579567459399</v>
      </c>
      <c r="G28" s="10">
        <v>-24.599710281757901</v>
      </c>
      <c r="H28" s="10">
        <v>1528.26785087548</v>
      </c>
      <c r="I28" s="10">
        <v>2896.51284814056</v>
      </c>
      <c r="J28" s="10">
        <v>89.529135647345299</v>
      </c>
      <c r="K28" s="10">
        <v>11195.590369309</v>
      </c>
      <c r="L28" s="10">
        <v>3580.7411442862399</v>
      </c>
      <c r="M28" s="10">
        <v>-68.016504479278893</v>
      </c>
      <c r="N28" s="10">
        <v>30.241407299999999</v>
      </c>
      <c r="O28" s="10">
        <v>34517.963000000003</v>
      </c>
      <c r="P28" s="10">
        <f t="shared" si="1"/>
        <v>876.10637105092212</v>
      </c>
      <c r="Q28" s="10">
        <v>13.457383999999999</v>
      </c>
      <c r="R28" s="10">
        <v>12731.569608</v>
      </c>
      <c r="S28" s="10">
        <f>((Q28*10^12)/(R28*10^3))/10^3</f>
        <v>1057.0090267223554</v>
      </c>
      <c r="T28" s="10">
        <f>100*(S28-P28)/P28</f>
        <v>20.648480783724224</v>
      </c>
      <c r="U28" s="10">
        <v>12.418329713</v>
      </c>
      <c r="V28" s="10">
        <v>32925.99</v>
      </c>
      <c r="W28" s="10">
        <f t="shared" si="0"/>
        <v>377.15888612612713</v>
      </c>
      <c r="X28" s="10">
        <v>10.814299999999999</v>
      </c>
      <c r="Y28" s="10">
        <v>11993.4308</v>
      </c>
      <c r="Z28" s="10">
        <f>((X28*10^12)/(Y28*10^3))/10^3</f>
        <v>901.68527924470118</v>
      </c>
      <c r="AA28" s="10">
        <f>100*(Z28-W28)/W28</f>
        <v>139.0730571155535</v>
      </c>
    </row>
    <row r="29" spans="1:27" x14ac:dyDescent="0.45">
      <c r="A29" s="7">
        <v>2013</v>
      </c>
      <c r="B29" s="10">
        <v>51.822916242959998</v>
      </c>
      <c r="C29" s="10"/>
      <c r="D29" s="10"/>
      <c r="E29" s="10">
        <v>1491.3137393351001</v>
      </c>
      <c r="F29" s="10"/>
      <c r="G29" s="10"/>
      <c r="H29" s="10">
        <v>1584.1332043498301</v>
      </c>
      <c r="I29" s="10"/>
      <c r="J29" s="10"/>
      <c r="K29" s="10">
        <v>11521.6761005276</v>
      </c>
      <c r="L29" s="10"/>
      <c r="M29" s="10"/>
      <c r="N29" s="10">
        <v>31.392254136999998</v>
      </c>
      <c r="O29" s="10">
        <v>35127.321000000004</v>
      </c>
      <c r="P29" s="10">
        <f t="shared" si="1"/>
        <v>893.67060291902135</v>
      </c>
      <c r="Q29" s="10"/>
      <c r="R29" s="10"/>
      <c r="S29" s="10"/>
      <c r="T29" s="10"/>
      <c r="U29" s="10">
        <v>13.155641510000001</v>
      </c>
      <c r="V29" s="10">
        <v>33544.512000000002</v>
      </c>
      <c r="W29" s="10">
        <f t="shared" si="0"/>
        <v>392.18461458017333</v>
      </c>
      <c r="X29" s="10"/>
      <c r="Y29" s="10"/>
      <c r="Z29" s="10"/>
      <c r="AA29" s="10"/>
    </row>
    <row r="30" spans="1:27" x14ac:dyDescent="0.45">
      <c r="A30" s="7">
        <v>2014</v>
      </c>
      <c r="B30" s="10">
        <v>52.766036964884698</v>
      </c>
      <c r="C30" s="10"/>
      <c r="D30" s="10"/>
      <c r="E30" s="10">
        <v>1455.78618220101</v>
      </c>
      <c r="F30" s="10"/>
      <c r="G30" s="10"/>
      <c r="H30" s="11"/>
      <c r="I30" s="10"/>
      <c r="J30" s="10"/>
      <c r="K30" s="11"/>
      <c r="L30" s="10"/>
      <c r="M30" s="10"/>
      <c r="N30" s="11"/>
      <c r="O30" s="11"/>
      <c r="P30" s="11"/>
      <c r="Q30" s="10"/>
      <c r="R30" s="10"/>
      <c r="S30" s="10"/>
      <c r="T30" s="10"/>
      <c r="U30" s="11"/>
      <c r="V30" s="11"/>
      <c r="W30" s="11"/>
      <c r="X30" s="10"/>
      <c r="Y30" s="10"/>
      <c r="Z30" s="10"/>
      <c r="AA30" s="10"/>
    </row>
    <row r="31" spans="1:27" x14ac:dyDescent="0.45">
      <c r="A31" s="7">
        <v>2015</v>
      </c>
      <c r="B31" s="10">
        <v>53.414926704307597</v>
      </c>
      <c r="C31" s="10">
        <v>122.833088460833</v>
      </c>
      <c r="D31" s="10">
        <v>129.960230294441</v>
      </c>
      <c r="E31" s="11"/>
      <c r="F31" s="4">
        <v>2129.6743955600487</v>
      </c>
      <c r="G31" s="11"/>
      <c r="H31" s="11"/>
      <c r="I31" s="10">
        <v>2859.6833766524501</v>
      </c>
      <c r="J31" s="11"/>
      <c r="K31" s="11"/>
      <c r="L31" s="10">
        <v>3586.09500777843</v>
      </c>
      <c r="M31" s="11"/>
      <c r="N31" s="11"/>
      <c r="O31" s="11"/>
      <c r="P31" s="11"/>
      <c r="Q31" s="10">
        <v>18.738415</v>
      </c>
      <c r="R31" s="10">
        <v>14479.146054999999</v>
      </c>
      <c r="S31" s="10">
        <f>((Q31*10^12)/(R31*10^3))/10^3</f>
        <v>1294.1657559652263</v>
      </c>
      <c r="T31" s="11"/>
      <c r="U31" s="11"/>
      <c r="V31" s="11"/>
      <c r="W31" s="11"/>
      <c r="X31" s="10">
        <v>16.135999999999999</v>
      </c>
      <c r="Y31" s="10">
        <v>13753.45</v>
      </c>
      <c r="Z31" s="10">
        <f>((X31*10^12)/(Y31*10^3))/10^3</f>
        <v>1173.2328979274291</v>
      </c>
      <c r="AA31" s="11"/>
    </row>
    <row r="32" spans="1:27" x14ac:dyDescent="0.45">
      <c r="AA32" s="29">
        <f>AVERAGE(AA4:AA28)</f>
        <v>168.9641895817511</v>
      </c>
    </row>
    <row r="33" spans="1:27" x14ac:dyDescent="0.45">
      <c r="A33" t="s">
        <v>33</v>
      </c>
      <c r="AA33" s="29">
        <f>MIN(AA4:AA28)</f>
        <v>89.216643834652871</v>
      </c>
    </row>
    <row r="34" spans="1:27" x14ac:dyDescent="0.45">
      <c r="AA34" s="29">
        <f>MAX(AA4:AA28)</f>
        <v>367.12590999311374</v>
      </c>
    </row>
    <row r="35" spans="1:27" x14ac:dyDescent="0.45">
      <c r="AA35" s="4">
        <f>STDEV(AA4:AA28)</f>
        <v>82.553839900361282</v>
      </c>
    </row>
  </sheetData>
  <mergeCells count="7">
    <mergeCell ref="B1:AA1"/>
    <mergeCell ref="B2:D2"/>
    <mergeCell ref="E2:G2"/>
    <mergeCell ref="H2:J2"/>
    <mergeCell ref="K2:M2"/>
    <mergeCell ref="N2:T2"/>
    <mergeCell ref="U2:AA2"/>
  </mergeCells>
  <pageMargins left="0.7" right="0.7" top="0.75" bottom="0.75" header="0.51180555555555496" footer="0.51180555555555496"/>
  <pageSetup firstPageNumber="0"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A35"/>
  <sheetViews>
    <sheetView zoomScaleNormal="100" workbookViewId="0">
      <pane xSplit="1" ySplit="3" topLeftCell="I25" activePane="bottomRight" state="frozen"/>
      <selection pane="topRight" activeCell="Q1" sqref="Q1"/>
      <selection pane="bottomLeft" activeCell="A30" sqref="A30"/>
      <selection pane="bottomRight" activeCell="AB22" sqref="AB22"/>
    </sheetView>
  </sheetViews>
  <sheetFormatPr defaultRowHeight="14.25" x14ac:dyDescent="0.45"/>
  <cols>
    <col min="1" max="1" width="8.3984375"/>
    <col min="14" max="15" width="8.3984375"/>
    <col min="17" max="18" width="8.3984375"/>
    <col min="21" max="22" width="8.3984375"/>
    <col min="24" max="25" width="8.3984375"/>
    <col min="28" max="1025" width="8.3984375"/>
  </cols>
  <sheetData>
    <row r="1" spans="1:27" ht="18" customHeight="1" x14ac:dyDescent="0.55000000000000004">
      <c r="A1" s="10"/>
      <c r="B1" s="95" t="s">
        <v>42</v>
      </c>
      <c r="C1" s="95"/>
      <c r="D1" s="95"/>
      <c r="E1" s="95"/>
      <c r="F1" s="95"/>
      <c r="G1" s="95"/>
      <c r="H1" s="95"/>
      <c r="I1" s="95"/>
      <c r="J1" s="95"/>
      <c r="K1" s="95"/>
      <c r="L1" s="95"/>
      <c r="M1" s="95"/>
      <c r="N1" s="95"/>
      <c r="O1" s="95"/>
      <c r="P1" s="95"/>
      <c r="Q1" s="95"/>
      <c r="R1" s="95"/>
      <c r="S1" s="95"/>
      <c r="T1" s="95"/>
      <c r="U1" s="95"/>
      <c r="V1" s="95"/>
      <c r="W1" s="95"/>
      <c r="X1" s="95"/>
      <c r="Y1" s="95"/>
      <c r="Z1" s="95"/>
      <c r="AA1" s="95"/>
    </row>
    <row r="2" spans="1:27" ht="14.25" customHeight="1" x14ac:dyDescent="0.45">
      <c r="A2" s="10"/>
      <c r="B2" s="96" t="s">
        <v>12</v>
      </c>
      <c r="C2" s="96"/>
      <c r="D2" s="96"/>
      <c r="E2" s="96" t="s">
        <v>13</v>
      </c>
      <c r="F2" s="96"/>
      <c r="G2" s="96"/>
      <c r="H2" s="96" t="s">
        <v>14</v>
      </c>
      <c r="I2" s="96"/>
      <c r="J2" s="96"/>
      <c r="K2" s="96" t="s">
        <v>15</v>
      </c>
      <c r="L2" s="96"/>
      <c r="M2" s="96"/>
      <c r="N2" s="96" t="s">
        <v>16</v>
      </c>
      <c r="O2" s="96"/>
      <c r="P2" s="96"/>
      <c r="Q2" s="96"/>
      <c r="R2" s="96"/>
      <c r="S2" s="96"/>
      <c r="T2" s="96"/>
      <c r="U2" s="96" t="s">
        <v>17</v>
      </c>
      <c r="V2" s="96"/>
      <c r="W2" s="96"/>
      <c r="X2" s="96"/>
      <c r="Y2" s="96"/>
      <c r="Z2" s="96"/>
      <c r="AA2" s="96"/>
    </row>
    <row r="3" spans="1:27" ht="57" x14ac:dyDescent="0.45">
      <c r="A3" s="10" t="s">
        <v>2</v>
      </c>
      <c r="B3" s="10" t="s">
        <v>6</v>
      </c>
      <c r="C3" s="10" t="s">
        <v>7</v>
      </c>
      <c r="D3" s="14" t="s">
        <v>5</v>
      </c>
      <c r="E3" s="15" t="s">
        <v>6</v>
      </c>
      <c r="F3" s="10" t="s">
        <v>7</v>
      </c>
      <c r="G3" s="14" t="s">
        <v>5</v>
      </c>
      <c r="H3" s="10" t="s">
        <v>6</v>
      </c>
      <c r="I3" s="10" t="s">
        <v>7</v>
      </c>
      <c r="J3" s="14" t="s">
        <v>5</v>
      </c>
      <c r="K3" s="10" t="s">
        <v>6</v>
      </c>
      <c r="L3" s="10" t="s">
        <v>7</v>
      </c>
      <c r="M3" s="14" t="s">
        <v>5</v>
      </c>
      <c r="N3" s="8" t="s">
        <v>34</v>
      </c>
      <c r="O3" s="8" t="s">
        <v>28</v>
      </c>
      <c r="P3" s="8" t="s">
        <v>35</v>
      </c>
      <c r="Q3" s="8" t="s">
        <v>36</v>
      </c>
      <c r="R3" s="8" t="s">
        <v>31</v>
      </c>
      <c r="S3" s="8" t="s">
        <v>37</v>
      </c>
      <c r="T3" s="9" t="s">
        <v>5</v>
      </c>
      <c r="U3" s="8" t="s">
        <v>34</v>
      </c>
      <c r="V3" s="8" t="s">
        <v>28</v>
      </c>
      <c r="W3" s="8" t="s">
        <v>35</v>
      </c>
      <c r="X3" s="8" t="s">
        <v>36</v>
      </c>
      <c r="Y3" s="8" t="s">
        <v>31</v>
      </c>
      <c r="Z3" s="8" t="s">
        <v>37</v>
      </c>
      <c r="AA3" s="9" t="s">
        <v>5</v>
      </c>
    </row>
    <row r="4" spans="1:27" x14ac:dyDescent="0.45">
      <c r="A4" s="16">
        <v>1988</v>
      </c>
      <c r="B4" s="10">
        <v>13.6497055312888</v>
      </c>
      <c r="C4" s="10">
        <v>54.220480255690397</v>
      </c>
      <c r="D4" s="10">
        <f>100*(C4-B4)/B4</f>
        <v>297.22820489718589</v>
      </c>
      <c r="E4" s="10">
        <v>82.378351831298602</v>
      </c>
      <c r="F4" s="10">
        <v>92.736910084189702</v>
      </c>
      <c r="G4" s="10">
        <f>100*(F4-E4)/E4</f>
        <v>12.574369385423294</v>
      </c>
      <c r="H4" s="10">
        <v>91.767880011938203</v>
      </c>
      <c r="I4" s="10">
        <v>124.441868871095</v>
      </c>
      <c r="J4" s="10">
        <f>100*(I4-H4)/H4</f>
        <v>35.605038336840941</v>
      </c>
      <c r="K4" s="10"/>
      <c r="L4" s="10">
        <v>180.03931505162399</v>
      </c>
      <c r="M4" s="10"/>
      <c r="N4" s="11"/>
      <c r="O4" s="11"/>
      <c r="P4" s="11"/>
      <c r="Q4" s="10">
        <v>527.93078100000002</v>
      </c>
      <c r="R4" s="10">
        <v>6147.7135752000004</v>
      </c>
      <c r="S4" s="10">
        <f>((Q4*10^9)/(R4*10^3))/10^3</f>
        <v>85.874329462856451</v>
      </c>
      <c r="T4" s="11"/>
      <c r="U4" s="10">
        <v>289.09494000000001</v>
      </c>
      <c r="V4" s="10">
        <v>13018.674999999999</v>
      </c>
      <c r="W4" s="10">
        <f t="shared" ref="W4:W29" si="0">((U4*10^9)/(V4*10^3))/10^3</f>
        <v>22.206172287118314</v>
      </c>
      <c r="X4">
        <v>369.45580000000001</v>
      </c>
      <c r="Y4" s="10">
        <v>5267.48927</v>
      </c>
      <c r="Z4" s="10">
        <f>((X4*10^9)/(Y4*10^3))/10^3</f>
        <v>70.138880415792471</v>
      </c>
      <c r="AA4" s="10">
        <f>100*(Z4-W4)/W4</f>
        <v>215.85308583992062</v>
      </c>
    </row>
    <row r="5" spans="1:27" x14ac:dyDescent="0.45">
      <c r="A5" s="16">
        <v>1989</v>
      </c>
      <c r="B5" s="10">
        <v>13.606380107847</v>
      </c>
      <c r="C5" s="10"/>
      <c r="D5" s="10"/>
      <c r="E5" s="10">
        <v>83.045453229398703</v>
      </c>
      <c r="F5" s="10"/>
      <c r="G5" s="10"/>
      <c r="H5" s="10">
        <v>88.088483845394194</v>
      </c>
      <c r="I5" s="10"/>
      <c r="J5" s="10"/>
      <c r="K5" s="10"/>
      <c r="L5" s="10"/>
      <c r="M5" s="10"/>
      <c r="N5" s="11"/>
      <c r="O5" s="11"/>
      <c r="P5" s="11"/>
      <c r="Q5" s="10"/>
      <c r="R5" s="10"/>
      <c r="S5" s="10"/>
      <c r="T5" s="10"/>
      <c r="U5" s="10">
        <v>301.82399800000002</v>
      </c>
      <c r="V5" s="10">
        <v>13663.870999999999</v>
      </c>
      <c r="W5" s="10">
        <f t="shared" si="0"/>
        <v>22.089201369070302</v>
      </c>
      <c r="Y5" s="10"/>
      <c r="Z5" s="10"/>
      <c r="AA5" s="10"/>
    </row>
    <row r="6" spans="1:27" x14ac:dyDescent="0.45">
      <c r="A6" s="16">
        <v>1990</v>
      </c>
      <c r="B6" s="10">
        <v>14.1634081215162</v>
      </c>
      <c r="C6" s="10"/>
      <c r="D6" s="10"/>
      <c r="E6" s="10">
        <v>83.643879249706899</v>
      </c>
      <c r="F6" s="10"/>
      <c r="G6" s="10"/>
      <c r="H6" s="10">
        <v>87.948669731880003</v>
      </c>
      <c r="I6" s="10"/>
      <c r="J6" s="10"/>
      <c r="K6" s="10">
        <v>399.30366480708801</v>
      </c>
      <c r="L6" s="10"/>
      <c r="M6" s="10"/>
      <c r="N6">
        <v>714.61164599999995</v>
      </c>
      <c r="O6" s="10">
        <v>14852.602999999999</v>
      </c>
      <c r="P6" s="10">
        <f t="shared" ref="P6:P29" si="1">((N6*10^9)/(O6*10^3))/10^3</f>
        <v>48.113562720285458</v>
      </c>
      <c r="Q6" s="10"/>
      <c r="R6" s="10"/>
      <c r="S6" s="10"/>
      <c r="T6" s="10"/>
      <c r="U6" s="10">
        <v>312.497682</v>
      </c>
      <c r="V6" s="10">
        <v>13845.565000000001</v>
      </c>
      <c r="W6" s="10">
        <f t="shared" si="0"/>
        <v>22.570236895352409</v>
      </c>
      <c r="Y6" s="10"/>
      <c r="Z6" s="10"/>
      <c r="AA6" s="10"/>
    </row>
    <row r="7" spans="1:27" x14ac:dyDescent="0.45">
      <c r="A7" s="16">
        <v>1991</v>
      </c>
      <c r="B7" s="10">
        <v>13.774631602487901</v>
      </c>
      <c r="C7" s="10">
        <v>56.513879008681698</v>
      </c>
      <c r="D7" s="10">
        <f>100*(C7-B7)/B7</f>
        <v>310.27506680087521</v>
      </c>
      <c r="E7" s="10">
        <v>83.350734813084102</v>
      </c>
      <c r="F7" s="10">
        <v>188.66369728565701</v>
      </c>
      <c r="G7" s="10">
        <f>100*(F7-E7)/E7</f>
        <v>126.34917101659583</v>
      </c>
      <c r="H7" s="10">
        <v>78.034423326866204</v>
      </c>
      <c r="I7" s="10">
        <v>139.36583827689401</v>
      </c>
      <c r="J7" s="10">
        <f>100*(I7-H7)/H7</f>
        <v>78.595333104630285</v>
      </c>
      <c r="K7" s="10">
        <v>387.21637995190298</v>
      </c>
      <c r="L7" s="10">
        <v>157.798409966062</v>
      </c>
      <c r="M7" s="10">
        <f>100*(L7-K7)/K7</f>
        <v>-59.248002373850376</v>
      </c>
      <c r="N7">
        <v>687.34621600000003</v>
      </c>
      <c r="O7" s="10">
        <v>15165.57</v>
      </c>
      <c r="P7" s="10">
        <f t="shared" si="1"/>
        <v>45.322807912923807</v>
      </c>
      <c r="Q7" s="10">
        <v>660.072</v>
      </c>
      <c r="R7" s="10">
        <v>6775.3505230000001</v>
      </c>
      <c r="S7" s="10">
        <f>((Q7*10^9)/(R7*10^3))/10^3</f>
        <v>97.422561055591302</v>
      </c>
      <c r="T7" s="10">
        <f>100*(S7-P7)/P7</f>
        <v>114.95261556336902</v>
      </c>
      <c r="U7" s="10">
        <v>309.60347200000001</v>
      </c>
      <c r="V7" s="10">
        <v>14190.036</v>
      </c>
      <c r="W7" s="10">
        <f t="shared" si="0"/>
        <v>21.818371144372009</v>
      </c>
      <c r="X7">
        <v>505.36200000000002</v>
      </c>
      <c r="Y7" s="10">
        <v>5794.9223929999998</v>
      </c>
      <c r="Z7" s="10">
        <f>((X7*10^9)/(Y7*10^3))/10^3</f>
        <v>87.207725268323543</v>
      </c>
      <c r="AA7" s="10">
        <f>100*(Z7-W7)/W7</f>
        <v>299.69860578166276</v>
      </c>
    </row>
    <row r="8" spans="1:27" x14ac:dyDescent="0.45">
      <c r="A8" s="16">
        <v>1992</v>
      </c>
      <c r="B8" s="10">
        <v>14.546139805428799</v>
      </c>
      <c r="C8" s="10"/>
      <c r="D8" s="10"/>
      <c r="E8" s="10">
        <v>94.406725467289704</v>
      </c>
      <c r="F8" s="10"/>
      <c r="G8" s="10"/>
      <c r="H8" s="10">
        <v>84.894184829667097</v>
      </c>
      <c r="I8" s="10"/>
      <c r="J8" s="10"/>
      <c r="K8" s="10">
        <v>413.04115038093602</v>
      </c>
      <c r="L8" s="10"/>
      <c r="M8" s="10"/>
      <c r="N8">
        <v>745.14537900000005</v>
      </c>
      <c r="O8" s="10">
        <v>15383.928</v>
      </c>
      <c r="P8" s="10">
        <f t="shared" si="1"/>
        <v>48.436613782903819</v>
      </c>
      <c r="Q8" s="10"/>
      <c r="R8" s="10"/>
      <c r="S8" s="10"/>
      <c r="T8" s="10"/>
      <c r="U8" s="10">
        <v>344.233182</v>
      </c>
      <c r="V8" s="10">
        <v>14413.293</v>
      </c>
      <c r="W8" s="10">
        <f t="shared" si="0"/>
        <v>23.883035056596714</v>
      </c>
      <c r="Y8" s="10"/>
      <c r="Z8" s="10"/>
      <c r="AA8" s="10"/>
    </row>
    <row r="9" spans="1:27" x14ac:dyDescent="0.45">
      <c r="A9" s="16">
        <v>1993</v>
      </c>
      <c r="B9" s="10">
        <v>14.599471120365701</v>
      </c>
      <c r="C9" s="10"/>
      <c r="D9" s="10"/>
      <c r="E9" s="10">
        <v>105.017327586207</v>
      </c>
      <c r="F9" s="10"/>
      <c r="G9" s="10"/>
      <c r="H9" s="10">
        <v>85.690585468283999</v>
      </c>
      <c r="I9" s="10"/>
      <c r="J9" s="10"/>
      <c r="K9" s="10">
        <v>472.61083307251403</v>
      </c>
      <c r="L9" s="10"/>
      <c r="M9" s="10"/>
      <c r="N9">
        <v>831.42222300000003</v>
      </c>
      <c r="O9" s="10">
        <v>15644.123</v>
      </c>
      <c r="P9" s="10">
        <f t="shared" si="1"/>
        <v>53.145978397127152</v>
      </c>
      <c r="Q9" s="10"/>
      <c r="R9" s="10"/>
      <c r="S9" s="10"/>
      <c r="T9" s="10"/>
      <c r="U9" s="10">
        <v>364.82630799999998</v>
      </c>
      <c r="V9" s="10">
        <v>14656.85</v>
      </c>
      <c r="W9" s="10">
        <f t="shared" si="0"/>
        <v>24.891181120090604</v>
      </c>
      <c r="Y9" s="10"/>
      <c r="Z9" s="10"/>
      <c r="AA9" s="10"/>
    </row>
    <row r="10" spans="1:27" x14ac:dyDescent="0.45">
      <c r="A10" s="16">
        <v>1994</v>
      </c>
      <c r="B10" s="10">
        <v>15.160416141341001</v>
      </c>
      <c r="C10" s="10">
        <v>40.354408272810502</v>
      </c>
      <c r="D10" s="10">
        <f>100*(C10-B10)/B10</f>
        <v>166.18272148063204</v>
      </c>
      <c r="E10" s="10">
        <v>108.583178651685</v>
      </c>
      <c r="F10" s="10">
        <v>493.23385876318702</v>
      </c>
      <c r="G10" s="10">
        <f>100*(F10-E10)/E10</f>
        <v>354.24518317463435</v>
      </c>
      <c r="H10" s="10">
        <v>96.388160300111295</v>
      </c>
      <c r="I10" s="10">
        <v>194.729067376985</v>
      </c>
      <c r="J10" s="10">
        <f>100*(I10-H10)/H10</f>
        <v>102.02591975060255</v>
      </c>
      <c r="K10" s="10">
        <v>471.18034658043098</v>
      </c>
      <c r="L10" s="10">
        <v>230.38099488072299</v>
      </c>
      <c r="M10" s="10">
        <f>100*(L10-K10)/K10</f>
        <v>-51.105559356899725</v>
      </c>
      <c r="N10">
        <v>937.24056399999995</v>
      </c>
      <c r="O10" s="10">
        <v>16087.361000000001</v>
      </c>
      <c r="P10" s="10">
        <f t="shared" si="1"/>
        <v>58.259435093176563</v>
      </c>
      <c r="Q10" s="10">
        <v>1096.1766399999999</v>
      </c>
      <c r="R10" s="10">
        <v>7062.9178315999998</v>
      </c>
      <c r="S10" s="10">
        <f>((Q10*10^9)/(R10*10^3))/10^3</f>
        <v>155.20166964078601</v>
      </c>
      <c r="T10" s="10">
        <f>100*(S10-P10)/P10</f>
        <v>166.39748461784083</v>
      </c>
      <c r="U10" s="10">
        <v>400.17883899999998</v>
      </c>
      <c r="V10" s="10">
        <v>14947.539000000001</v>
      </c>
      <c r="W10" s="10">
        <f t="shared" si="0"/>
        <v>26.772222437419295</v>
      </c>
      <c r="X10">
        <v>920.13570000000004</v>
      </c>
      <c r="Y10" s="10">
        <v>6298.7882206000004</v>
      </c>
      <c r="Z10" s="10">
        <f>((X10*10^9)/(Y10*10^3))/10^3</f>
        <v>146.0813838748735</v>
      </c>
      <c r="AA10" s="10">
        <f>100*(Z10-W10)/W10</f>
        <v>445.64533899395985</v>
      </c>
    </row>
    <row r="11" spans="1:27" x14ac:dyDescent="0.45">
      <c r="A11" s="16">
        <v>1995</v>
      </c>
      <c r="B11" s="10">
        <v>15.4504080787435</v>
      </c>
      <c r="C11" s="10"/>
      <c r="D11" s="10"/>
      <c r="E11" s="10">
        <v>112.306037656904</v>
      </c>
      <c r="F11" s="10"/>
      <c r="G11" s="10"/>
      <c r="H11" s="10">
        <v>95.811317413292798</v>
      </c>
      <c r="I11" s="10"/>
      <c r="J11" s="10"/>
      <c r="K11" s="10">
        <v>538.19657723839703</v>
      </c>
      <c r="L11" s="10"/>
      <c r="M11" s="10"/>
      <c r="N11">
        <v>1031.023252</v>
      </c>
      <c r="O11" s="10">
        <v>16214.984</v>
      </c>
      <c r="P11" s="10">
        <f t="shared" si="1"/>
        <v>63.584598788379928</v>
      </c>
      <c r="Q11" s="10"/>
      <c r="R11" s="10"/>
      <c r="S11" s="10"/>
      <c r="T11" s="10"/>
      <c r="U11" s="10">
        <v>420.89885500000003</v>
      </c>
      <c r="V11" s="10">
        <v>15081.338</v>
      </c>
      <c r="W11" s="10">
        <f t="shared" si="0"/>
        <v>27.908588415696276</v>
      </c>
      <c r="Y11" s="10"/>
      <c r="Z11" s="10"/>
      <c r="AA11" s="10"/>
    </row>
    <row r="12" spans="1:27" x14ac:dyDescent="0.45">
      <c r="A12" s="16">
        <v>1996</v>
      </c>
      <c r="B12" s="10">
        <v>15.7749089584493</v>
      </c>
      <c r="C12" s="10"/>
      <c r="D12" s="10"/>
      <c r="E12" s="10">
        <v>146.57813021868799</v>
      </c>
      <c r="F12" s="10"/>
      <c r="G12" s="10"/>
      <c r="H12" s="10">
        <v>100.641403284687</v>
      </c>
      <c r="I12" s="10"/>
      <c r="J12" s="10"/>
      <c r="K12" s="10">
        <v>562.42691887186504</v>
      </c>
      <c r="L12" s="10"/>
      <c r="M12" s="10"/>
      <c r="N12">
        <v>1138.238388</v>
      </c>
      <c r="O12" s="10">
        <v>16711.813999999998</v>
      </c>
      <c r="P12" s="10">
        <f t="shared" si="1"/>
        <v>68.109804716591526</v>
      </c>
      <c r="Q12" s="10"/>
      <c r="R12" s="10"/>
      <c r="S12" s="10"/>
      <c r="T12" s="10"/>
      <c r="U12" s="10">
        <v>486.978387</v>
      </c>
      <c r="V12" s="10">
        <v>15553.868</v>
      </c>
      <c r="W12" s="10">
        <f t="shared" si="0"/>
        <v>31.309150045506364</v>
      </c>
      <c r="Y12" s="10"/>
      <c r="Z12" s="10"/>
      <c r="AA12" s="10"/>
    </row>
    <row r="13" spans="1:27" x14ac:dyDescent="0.45">
      <c r="A13" s="16">
        <v>1997</v>
      </c>
      <c r="B13" s="10">
        <v>16.365039325828899</v>
      </c>
      <c r="C13" s="10">
        <v>78.862795860841103</v>
      </c>
      <c r="D13" s="10">
        <f>100*(C13-B13)/B13</f>
        <v>381.89799175350686</v>
      </c>
      <c r="E13" s="10">
        <v>151.66739242844</v>
      </c>
      <c r="F13" s="10">
        <v>171.11384446214501</v>
      </c>
      <c r="G13" s="10">
        <f>100*(F13-E13)/E13</f>
        <v>12.821775150436688</v>
      </c>
      <c r="H13" s="10">
        <v>108.617802008174</v>
      </c>
      <c r="I13" s="10">
        <v>227.76235538101</v>
      </c>
      <c r="J13" s="10">
        <f>100*(I13-H13)/H13</f>
        <v>109.69155255403696</v>
      </c>
      <c r="K13" s="10">
        <v>624.58452160905301</v>
      </c>
      <c r="L13" s="10">
        <v>223.537231420773</v>
      </c>
      <c r="M13" s="10">
        <f>100*(L13-K13)/K13</f>
        <v>-64.210251185076288</v>
      </c>
      <c r="N13">
        <v>1234.1299389999999</v>
      </c>
      <c r="O13" s="10">
        <v>17024.933000000001</v>
      </c>
      <c r="P13" s="10">
        <f t="shared" si="1"/>
        <v>72.489562161566212</v>
      </c>
      <c r="Q13" s="10">
        <v>1005.3570042</v>
      </c>
      <c r="R13" s="10">
        <v>7257.4286493</v>
      </c>
      <c r="S13" s="10">
        <f>((Q13*10^9)/(R13*10^3))/10^3</f>
        <v>138.52799011630236</v>
      </c>
      <c r="T13" s="10">
        <f>100*(S13-P13)/P13</f>
        <v>91.100602604756205</v>
      </c>
      <c r="U13" s="10">
        <v>536.01558</v>
      </c>
      <c r="V13" s="10">
        <v>15907.207</v>
      </c>
      <c r="W13" s="10">
        <f t="shared" si="0"/>
        <v>33.696398116903865</v>
      </c>
      <c r="X13">
        <v>779.85249999999996</v>
      </c>
      <c r="Y13" s="10">
        <v>6248.6279999999997</v>
      </c>
      <c r="Z13" s="10">
        <f>((X13*10^9)/(Y13*10^3))/10^3</f>
        <v>124.80379692950196</v>
      </c>
      <c r="AA13" s="10">
        <f>100*(Z13-W13)/W13</f>
        <v>270.37726256829177</v>
      </c>
    </row>
    <row r="14" spans="1:27" x14ac:dyDescent="0.45">
      <c r="A14" s="16">
        <v>1998</v>
      </c>
      <c r="B14" s="10">
        <v>17.086359181656</v>
      </c>
      <c r="C14" s="10"/>
      <c r="D14" s="10"/>
      <c r="E14" s="10">
        <v>158.51243578387999</v>
      </c>
      <c r="F14" s="10"/>
      <c r="G14" s="10"/>
      <c r="H14" s="10">
        <v>110.842354852977</v>
      </c>
      <c r="I14" s="10"/>
      <c r="J14" s="10"/>
      <c r="K14" s="10">
        <v>593.68491893327302</v>
      </c>
      <c r="L14" s="10"/>
      <c r="M14" s="10"/>
      <c r="N14">
        <v>1247.828526</v>
      </c>
      <c r="O14" s="10">
        <v>17517.330000000002</v>
      </c>
      <c r="P14" s="10">
        <f t="shared" si="1"/>
        <v>71.233945241654979</v>
      </c>
      <c r="Q14" s="10"/>
      <c r="R14" s="10"/>
      <c r="S14" s="10"/>
      <c r="T14" s="10"/>
      <c r="U14" s="10">
        <v>581.61787000000004</v>
      </c>
      <c r="V14" s="10">
        <v>16395.168000000001</v>
      </c>
      <c r="W14" s="10">
        <f t="shared" si="0"/>
        <v>35.474956401788624</v>
      </c>
      <c r="Y14" s="10"/>
      <c r="Z14" s="10"/>
      <c r="AA14" s="10"/>
    </row>
    <row r="15" spans="1:27" x14ac:dyDescent="0.45">
      <c r="A15" s="16">
        <v>1999</v>
      </c>
      <c r="B15" s="10">
        <v>17.472696399361801</v>
      </c>
      <c r="C15" s="10"/>
      <c r="D15" s="10"/>
      <c r="E15" s="10">
        <v>173.32490168067201</v>
      </c>
      <c r="F15" s="10"/>
      <c r="G15" s="10"/>
      <c r="H15" s="10">
        <v>114.81222420037599</v>
      </c>
      <c r="I15" s="10"/>
      <c r="J15" s="10"/>
      <c r="K15" s="10">
        <v>672.087105989713</v>
      </c>
      <c r="L15" s="10"/>
      <c r="M15" s="10"/>
      <c r="N15">
        <v>1361.743091</v>
      </c>
      <c r="O15" s="10">
        <v>17762.364000000001</v>
      </c>
      <c r="P15" s="10">
        <f t="shared" si="1"/>
        <v>76.664518923269455</v>
      </c>
      <c r="Q15" s="10"/>
      <c r="R15" s="10"/>
      <c r="S15" s="10"/>
      <c r="T15" s="10"/>
      <c r="U15" s="10">
        <v>632.91435899999999</v>
      </c>
      <c r="V15" s="10">
        <v>16677.937999999998</v>
      </c>
      <c r="W15" s="10">
        <f t="shared" si="0"/>
        <v>37.949197256879124</v>
      </c>
      <c r="Y15" s="10"/>
      <c r="Z15" s="10"/>
      <c r="AA15" s="10"/>
    </row>
    <row r="16" spans="1:27" x14ac:dyDescent="0.45">
      <c r="A16" s="16">
        <v>2000</v>
      </c>
      <c r="B16" s="10">
        <v>18.093091284122899</v>
      </c>
      <c r="C16" s="10">
        <v>107.197719422459</v>
      </c>
      <c r="D16" s="10">
        <f>100*(C16-B16)/B16</f>
        <v>492.47874085799504</v>
      </c>
      <c r="E16" s="10">
        <v>193.13304101722699</v>
      </c>
      <c r="F16" s="10">
        <v>301.22701648825699</v>
      </c>
      <c r="G16" s="10">
        <f>100*(F16-E16)/E16</f>
        <v>55.968660205266637</v>
      </c>
      <c r="H16" s="10">
        <v>116.99560470704699</v>
      </c>
      <c r="I16" s="10">
        <v>212.18104761004801</v>
      </c>
      <c r="J16" s="10">
        <f>100*(I16-H16)/H16</f>
        <v>81.358135753340591</v>
      </c>
      <c r="K16" s="10">
        <v>760.668269852104</v>
      </c>
      <c r="L16" s="10">
        <v>405.74125443843201</v>
      </c>
      <c r="M16" s="10">
        <f>100*(L16-K16)/K16</f>
        <v>-46.659894921432716</v>
      </c>
      <c r="N16">
        <v>1478.3608939999999</v>
      </c>
      <c r="O16" s="10">
        <v>17939.93</v>
      </c>
      <c r="P16" s="10">
        <f t="shared" si="1"/>
        <v>82.406168474458923</v>
      </c>
      <c r="Q16" s="10">
        <v>1527.1355920000001</v>
      </c>
      <c r="R16" s="10">
        <v>7489.2017286</v>
      </c>
      <c r="S16" s="10">
        <f>((Q16*10^9)/(R16*10^3))/10^3</f>
        <v>203.91166473298833</v>
      </c>
      <c r="T16" s="10">
        <f>100*(S16-P16)/P16</f>
        <v>147.44708861957218</v>
      </c>
      <c r="U16" s="10">
        <v>683.77670799999999</v>
      </c>
      <c r="V16" s="10">
        <v>16895.343000000001</v>
      </c>
      <c r="W16" s="10">
        <f t="shared" si="0"/>
        <v>40.471312597796917</v>
      </c>
      <c r="X16">
        <v>1114.5388</v>
      </c>
      <c r="Y16" s="10">
        <v>6472.3054000000002</v>
      </c>
      <c r="Z16" s="10">
        <f>((X16*10^9)/(Y16*10^3))/10^3</f>
        <v>172.20120669831184</v>
      </c>
      <c r="AA16" s="10">
        <f>100*(Z16-W16)/W16</f>
        <v>325.48955209247578</v>
      </c>
    </row>
    <row r="17" spans="1:27" x14ac:dyDescent="0.45">
      <c r="A17" s="16">
        <v>2001</v>
      </c>
      <c r="B17" s="10">
        <v>18.0897761045332</v>
      </c>
      <c r="C17" s="10"/>
      <c r="D17" s="10"/>
      <c r="E17" s="10">
        <v>204.241960254372</v>
      </c>
      <c r="F17" s="10"/>
      <c r="G17" s="10"/>
      <c r="H17" s="10">
        <v>117.35957987756601</v>
      </c>
      <c r="I17" s="10"/>
      <c r="J17" s="10"/>
      <c r="K17" s="10">
        <v>670.52202905597801</v>
      </c>
      <c r="L17" s="10"/>
      <c r="M17" s="10"/>
      <c r="N17">
        <v>1381.936011</v>
      </c>
      <c r="O17" s="10">
        <v>18227.835999999999</v>
      </c>
      <c r="P17" s="10">
        <f t="shared" si="1"/>
        <v>75.814595380384148</v>
      </c>
      <c r="Q17" s="10"/>
      <c r="R17" s="10"/>
      <c r="S17" s="10"/>
      <c r="T17" s="10"/>
      <c r="U17" s="10">
        <v>717.27501500000005</v>
      </c>
      <c r="V17" s="10">
        <v>17236.577000000001</v>
      </c>
      <c r="W17" s="10">
        <f t="shared" si="0"/>
        <v>41.613541656211673</v>
      </c>
      <c r="Y17" s="10"/>
      <c r="Z17" s="10"/>
      <c r="AA17" s="10"/>
    </row>
    <row r="18" spans="1:27" x14ac:dyDescent="0.45">
      <c r="A18" s="16">
        <v>2002</v>
      </c>
      <c r="B18" s="10">
        <v>18.4255629483735</v>
      </c>
      <c r="C18" s="10"/>
      <c r="D18" s="10"/>
      <c r="E18" s="10">
        <v>203.79546999220599</v>
      </c>
      <c r="F18" s="10"/>
      <c r="G18" s="10"/>
      <c r="H18" s="10">
        <v>118.807638620009</v>
      </c>
      <c r="I18" s="10"/>
      <c r="J18" s="10"/>
      <c r="K18" s="10">
        <v>685.47147718272902</v>
      </c>
      <c r="L18" s="10"/>
      <c r="M18" s="10"/>
      <c r="N18">
        <v>1365.5371709999999</v>
      </c>
      <c r="O18" s="10">
        <v>18297.972000000002</v>
      </c>
      <c r="P18" s="10">
        <f t="shared" si="1"/>
        <v>74.627787767955937</v>
      </c>
      <c r="Q18" s="10"/>
      <c r="R18" s="10"/>
      <c r="S18" s="10"/>
      <c r="T18" s="10"/>
      <c r="U18" s="10">
        <v>738.039444</v>
      </c>
      <c r="V18" s="10">
        <v>17382.546999999999</v>
      </c>
      <c r="W18" s="10">
        <f t="shared" si="0"/>
        <v>42.458647976041711</v>
      </c>
      <c r="Y18" s="10"/>
      <c r="Z18" s="10"/>
      <c r="AA18" s="10"/>
    </row>
    <row r="19" spans="1:27" x14ac:dyDescent="0.45">
      <c r="A19" s="16">
        <v>2003</v>
      </c>
      <c r="B19" s="10">
        <v>18.388521459040799</v>
      </c>
      <c r="C19" s="10">
        <v>67.911291076307606</v>
      </c>
      <c r="D19" s="10">
        <f>100*(C19-B19)/B19</f>
        <v>269.31349389658902</v>
      </c>
      <c r="E19" s="10">
        <v>211.584960635882</v>
      </c>
      <c r="F19" s="10">
        <v>337.97325380411098</v>
      </c>
      <c r="G19" s="10">
        <f>100*(F19-E19)/E19</f>
        <v>59.734062755873971</v>
      </c>
      <c r="H19" s="10">
        <v>121.01353259468701</v>
      </c>
      <c r="I19" s="10">
        <v>315.40237186763602</v>
      </c>
      <c r="J19" s="10">
        <f>100*(I19-H19)/H19</f>
        <v>160.63396804059869</v>
      </c>
      <c r="K19" s="10">
        <v>776.80191903682305</v>
      </c>
      <c r="L19" s="10">
        <v>182.125521824846</v>
      </c>
      <c r="M19" s="10">
        <f>100*(L19-K19)/K19</f>
        <v>-76.55444491554961</v>
      </c>
      <c r="N19">
        <v>1490.550774</v>
      </c>
      <c r="O19" s="10">
        <v>19194.924999999999</v>
      </c>
      <c r="P19" s="10">
        <f t="shared" si="1"/>
        <v>77.653378379962405</v>
      </c>
      <c r="Q19" s="10">
        <v>1482.3661870000001</v>
      </c>
      <c r="R19" s="10">
        <v>8132.320823</v>
      </c>
      <c r="S19" s="10">
        <f>((Q19*10^9)/(R19*10^3))/10^3</f>
        <v>182.28082969962779</v>
      </c>
      <c r="T19" s="10">
        <f>100*(S19-P19)/P19</f>
        <v>134.73650921884854</v>
      </c>
      <c r="U19" s="10">
        <v>789.86379099999999</v>
      </c>
      <c r="V19" s="10">
        <v>18292.91</v>
      </c>
      <c r="W19" s="10">
        <f t="shared" si="0"/>
        <v>43.17868458326204</v>
      </c>
      <c r="X19">
        <v>1347.7945999999999</v>
      </c>
      <c r="Y19" s="10">
        <v>7393.4260999999997</v>
      </c>
      <c r="Z19" s="10">
        <f>((X19*10^9)/(Y19*10^3))/10^3</f>
        <v>182.2963510786968</v>
      </c>
      <c r="AA19" s="10">
        <f>100*(Z19-W19)/W19</f>
        <v>322.19060825526606</v>
      </c>
    </row>
    <row r="20" spans="1:27" x14ac:dyDescent="0.45">
      <c r="A20" s="16">
        <v>2004</v>
      </c>
      <c r="B20" s="10">
        <v>19.015520082196598</v>
      </c>
      <c r="C20" s="10"/>
      <c r="D20" s="10"/>
      <c r="E20" s="10">
        <v>242.89800712250701</v>
      </c>
      <c r="F20" s="10"/>
      <c r="G20" s="10"/>
      <c r="H20" s="10">
        <v>133.38672337057699</v>
      </c>
      <c r="I20" s="10"/>
      <c r="J20" s="10"/>
      <c r="K20" s="10">
        <v>958.55834793132601</v>
      </c>
      <c r="L20" s="10"/>
      <c r="M20" s="10"/>
      <c r="N20">
        <v>1800.1926129999999</v>
      </c>
      <c r="O20" s="10">
        <v>20084.991000000002</v>
      </c>
      <c r="P20" s="10">
        <f t="shared" si="1"/>
        <v>89.62874880053468</v>
      </c>
      <c r="Q20" s="10"/>
      <c r="R20" s="10"/>
      <c r="S20" s="10"/>
      <c r="T20" s="10"/>
      <c r="U20" s="10">
        <v>918.65730399999995</v>
      </c>
      <c r="V20" s="10">
        <v>19165.344000000001</v>
      </c>
      <c r="W20" s="10">
        <f t="shared" si="0"/>
        <v>47.933254106996465</v>
      </c>
      <c r="Y20" s="10"/>
      <c r="Z20" s="10"/>
      <c r="AA20" s="10"/>
    </row>
    <row r="21" spans="1:27" x14ac:dyDescent="0.45">
      <c r="A21" s="16">
        <v>2005</v>
      </c>
      <c r="B21" s="10">
        <v>19.783015280093402</v>
      </c>
      <c r="C21" s="10"/>
      <c r="D21" s="10"/>
      <c r="E21" s="10">
        <v>281.66772592113801</v>
      </c>
      <c r="F21" s="10"/>
      <c r="G21" s="10"/>
      <c r="H21" s="10">
        <v>151.22511340354799</v>
      </c>
      <c r="I21" s="10"/>
      <c r="J21" s="10"/>
      <c r="K21" s="10">
        <v>1555.1859779664501</v>
      </c>
      <c r="L21" s="10"/>
      <c r="M21" s="10"/>
      <c r="N21">
        <v>2587.8700899999999</v>
      </c>
      <c r="O21" s="10">
        <v>21116.526000000002</v>
      </c>
      <c r="P21" s="10">
        <f t="shared" si="1"/>
        <v>122.5518861388469</v>
      </c>
      <c r="Q21" s="10"/>
      <c r="R21" s="10"/>
      <c r="S21" s="10"/>
      <c r="T21" s="10"/>
      <c r="U21" s="10">
        <v>1103.0936019999999</v>
      </c>
      <c r="V21" s="10">
        <v>20161.8</v>
      </c>
      <c r="W21" s="10">
        <f t="shared" si="0"/>
        <v>54.71205953833487</v>
      </c>
      <c r="Y21" s="10"/>
      <c r="Z21" s="10"/>
      <c r="AA21" s="10"/>
    </row>
    <row r="22" spans="1:27" x14ac:dyDescent="0.45">
      <c r="A22" s="16">
        <v>2006</v>
      </c>
      <c r="B22" s="10">
        <v>19.956197567378201</v>
      </c>
      <c r="C22" s="10">
        <v>71.011542157290094</v>
      </c>
      <c r="D22" s="10">
        <f>100*(C22-B22)/B22</f>
        <v>255.83703717871853</v>
      </c>
      <c r="E22" s="10">
        <v>317.14972057898098</v>
      </c>
      <c r="F22" s="10">
        <v>475.38507407555397</v>
      </c>
      <c r="G22" s="10">
        <f>100*(F22-E22)/E22</f>
        <v>49.892950625244858</v>
      </c>
      <c r="H22" s="10">
        <v>156.667434432264</v>
      </c>
      <c r="I22" s="10">
        <v>321.96402526987799</v>
      </c>
      <c r="J22" s="10">
        <f>100*(I22-H22)/H22</f>
        <v>105.50794518121815</v>
      </c>
      <c r="K22" s="10">
        <v>1437.19603966157</v>
      </c>
      <c r="L22" s="10">
        <v>364.39802737796299</v>
      </c>
      <c r="M22" s="10">
        <f>100*(L22-K22)/K22</f>
        <v>-74.645210721303471</v>
      </c>
      <c r="N22">
        <v>2540.110357</v>
      </c>
      <c r="O22" s="10">
        <v>21624.791000000001</v>
      </c>
      <c r="P22" s="10">
        <f t="shared" si="1"/>
        <v>117.46288586095467</v>
      </c>
      <c r="Q22" s="10">
        <v>2319.7325300000002</v>
      </c>
      <c r="R22" s="10">
        <v>9962.1155550000003</v>
      </c>
      <c r="S22" s="10">
        <f>((Q22*10^9)/(R22*10^3))/10^3</f>
        <v>232.85541280794752</v>
      </c>
      <c r="T22" s="10">
        <f>100*(S22-P22)/P22</f>
        <v>98.237435681247774</v>
      </c>
      <c r="U22" s="10">
        <v>1206.3176980000001</v>
      </c>
      <c r="V22" s="10">
        <v>20696.739000000001</v>
      </c>
      <c r="W22" s="10">
        <f t="shared" si="0"/>
        <v>58.285399356874528</v>
      </c>
      <c r="X22">
        <v>2047.6873000000001</v>
      </c>
      <c r="Y22" s="10">
        <v>9215.5548999999992</v>
      </c>
      <c r="Z22" s="10">
        <f>((X22*10^9)/(Y22*10^3))/10^3</f>
        <v>222.19902352271814</v>
      </c>
      <c r="AA22" s="10">
        <f>100*(Z22-W22)/W22</f>
        <v>281.22587470357729</v>
      </c>
    </row>
    <row r="23" spans="1:27" x14ac:dyDescent="0.45">
      <c r="A23" s="16">
        <v>2007</v>
      </c>
      <c r="B23" s="10">
        <v>19.7332544987446</v>
      </c>
      <c r="C23" s="10"/>
      <c r="D23" s="10"/>
      <c r="E23" s="10">
        <v>319.01748562691103</v>
      </c>
      <c r="F23" s="10"/>
      <c r="G23" s="10"/>
      <c r="H23" s="10">
        <v>155.43085318719801</v>
      </c>
      <c r="I23" s="10"/>
      <c r="J23" s="10"/>
      <c r="K23" s="10">
        <v>1327.7678249590799</v>
      </c>
      <c r="L23" s="10"/>
      <c r="M23" s="10"/>
      <c r="N23">
        <v>2490.957586</v>
      </c>
      <c r="O23" s="10">
        <v>22464.19</v>
      </c>
      <c r="P23" s="10">
        <f t="shared" si="1"/>
        <v>110.88570680714507</v>
      </c>
      <c r="Q23" s="10"/>
      <c r="R23" s="10"/>
      <c r="S23" s="10"/>
      <c r="T23" s="10"/>
      <c r="U23" s="10">
        <v>1240.0223739999999</v>
      </c>
      <c r="V23" s="10">
        <v>21522.056</v>
      </c>
      <c r="W23" s="10">
        <f t="shared" si="0"/>
        <v>57.616352917211998</v>
      </c>
      <c r="Y23" s="10"/>
      <c r="Z23" s="10"/>
      <c r="AA23" s="10"/>
    </row>
    <row r="24" spans="1:27" x14ac:dyDescent="0.45">
      <c r="A24" s="16">
        <v>2008</v>
      </c>
      <c r="B24" s="10">
        <v>19.844306911687401</v>
      </c>
      <c r="C24" s="10"/>
      <c r="D24" s="10"/>
      <c r="E24" s="10">
        <v>318.97813639220601</v>
      </c>
      <c r="F24" s="10"/>
      <c r="G24" s="10"/>
      <c r="H24" s="10">
        <v>152.46674309214399</v>
      </c>
      <c r="I24" s="10"/>
      <c r="J24" s="10"/>
      <c r="K24" s="10">
        <v>1210.35661945127</v>
      </c>
      <c r="L24" s="10"/>
      <c r="M24" s="10"/>
      <c r="N24">
        <v>2210.2890809999999</v>
      </c>
      <c r="O24" s="10">
        <v>21734.983</v>
      </c>
      <c r="P24" s="10">
        <f t="shared" si="1"/>
        <v>101.69269886247439</v>
      </c>
      <c r="Q24" s="10"/>
      <c r="R24" s="10"/>
      <c r="S24" s="10"/>
      <c r="T24" s="10"/>
      <c r="U24" s="10">
        <v>1199.0821189999999</v>
      </c>
      <c r="V24" s="10">
        <v>20899.521000000001</v>
      </c>
      <c r="W24" s="10">
        <f t="shared" si="0"/>
        <v>57.373665118927839</v>
      </c>
      <c r="Y24" s="10"/>
      <c r="Z24" s="10"/>
      <c r="AA24" s="10"/>
    </row>
    <row r="25" spans="1:27" x14ac:dyDescent="0.45">
      <c r="A25" s="16">
        <v>2009</v>
      </c>
      <c r="B25" s="10">
        <v>18.797174089640102</v>
      </c>
      <c r="C25" s="10">
        <v>51.778020634853597</v>
      </c>
      <c r="D25" s="10">
        <f>100*(C25-B25)/B25</f>
        <v>175.45640843636491</v>
      </c>
      <c r="E25" s="10">
        <v>280.47388818698698</v>
      </c>
      <c r="F25" s="10">
        <v>256.03543467322402</v>
      </c>
      <c r="G25" s="10">
        <f>100*(F25-E25)/E25</f>
        <v>-8.7132722663545348</v>
      </c>
      <c r="H25" s="10">
        <v>138.56846115389001</v>
      </c>
      <c r="I25" s="10">
        <v>388.78295069178802</v>
      </c>
      <c r="J25" s="10">
        <f>100*(I25-H25)/H25</f>
        <v>180.57102421020411</v>
      </c>
      <c r="K25" s="10">
        <v>1182.37909903942</v>
      </c>
      <c r="L25" s="10">
        <v>287.12304021707502</v>
      </c>
      <c r="M25" s="10">
        <f>100*(L25-K25)/K25</f>
        <v>-75.716499010314251</v>
      </c>
      <c r="N25">
        <v>2010.8471959999999</v>
      </c>
      <c r="O25" s="10">
        <v>21760.814999999999</v>
      </c>
      <c r="P25" s="10">
        <f t="shared" si="1"/>
        <v>92.406796160897471</v>
      </c>
      <c r="Q25" s="10">
        <v>1553.1537986999999</v>
      </c>
      <c r="R25" s="10">
        <v>9941.1893830000008</v>
      </c>
      <c r="S25" s="10">
        <f>((Q25*10^9)/(R25*10^3))/10^3</f>
        <v>156.23420285665026</v>
      </c>
      <c r="T25" s="10">
        <f>100*(S25-P25)/P25</f>
        <v>69.072199608151507</v>
      </c>
      <c r="U25" s="10">
        <v>1089.8897509999999</v>
      </c>
      <c r="V25" s="10">
        <v>20981.913</v>
      </c>
      <c r="W25" s="10">
        <f t="shared" si="0"/>
        <v>51.944250793528688</v>
      </c>
      <c r="X25">
        <v>1397.9811999999999</v>
      </c>
      <c r="Y25" s="10">
        <v>9400.75</v>
      </c>
      <c r="Z25" s="10">
        <f>((X25*10^9)/(Y25*10^3))/10^3</f>
        <v>148.70953913251603</v>
      </c>
      <c r="AA25" s="10">
        <f>100*(Z25-W25)/W25</f>
        <v>186.28681107292539</v>
      </c>
    </row>
    <row r="26" spans="1:27" x14ac:dyDescent="0.45">
      <c r="A26" s="16">
        <v>2010</v>
      </c>
      <c r="B26" s="10">
        <v>19.072175459135199</v>
      </c>
      <c r="C26" s="10"/>
      <c r="D26" s="10"/>
      <c r="E26" s="10">
        <v>302.62420559006199</v>
      </c>
      <c r="F26" s="10"/>
      <c r="G26" s="10"/>
      <c r="H26" s="10">
        <v>144.33684913887899</v>
      </c>
      <c r="I26" s="10"/>
      <c r="J26" s="10"/>
      <c r="K26" s="10">
        <v>1358.26769051322</v>
      </c>
      <c r="L26" s="10"/>
      <c r="M26" s="10"/>
      <c r="N26">
        <v>2252.2888849999999</v>
      </c>
      <c r="O26" s="10">
        <v>22441.437000000002</v>
      </c>
      <c r="P26" s="10">
        <f t="shared" si="1"/>
        <v>100.36295291607217</v>
      </c>
      <c r="Q26" s="10"/>
      <c r="R26" s="10"/>
      <c r="S26" s="10"/>
      <c r="T26" s="10"/>
      <c r="U26" s="10">
        <v>1176.301819</v>
      </c>
      <c r="V26" s="10">
        <v>21649.260999999999</v>
      </c>
      <c r="W26" s="10">
        <f t="shared" si="0"/>
        <v>54.334502180005124</v>
      </c>
      <c r="Y26" s="10"/>
      <c r="Z26" s="10"/>
      <c r="AA26" s="10"/>
    </row>
    <row r="27" spans="1:27" x14ac:dyDescent="0.45">
      <c r="A27" s="16">
        <v>2011</v>
      </c>
      <c r="B27" s="10">
        <v>19.582726310397501</v>
      </c>
      <c r="C27" s="10"/>
      <c r="D27" s="10"/>
      <c r="E27" s="10">
        <v>299.55922189695599</v>
      </c>
      <c r="F27" s="10"/>
      <c r="G27" s="10"/>
      <c r="H27" s="10">
        <v>145.73196317346</v>
      </c>
      <c r="I27" s="10"/>
      <c r="J27" s="10"/>
      <c r="K27" s="10">
        <v>1341.2646868582799</v>
      </c>
      <c r="L27" s="10"/>
      <c r="M27" s="10"/>
      <c r="N27">
        <v>2304.8060679999999</v>
      </c>
      <c r="O27" s="10">
        <v>23020.977999999999</v>
      </c>
      <c r="P27" s="10">
        <f t="shared" si="1"/>
        <v>100.11764348152367</v>
      </c>
      <c r="Q27" s="10"/>
      <c r="R27" s="10"/>
      <c r="S27" s="10"/>
      <c r="T27" s="10"/>
      <c r="U27" s="10">
        <v>1236.8844180000001</v>
      </c>
      <c r="V27" s="10">
        <v>22224.773000000001</v>
      </c>
      <c r="W27" s="10">
        <f t="shared" si="0"/>
        <v>55.653410633260464</v>
      </c>
      <c r="Y27" s="10"/>
      <c r="Z27" s="10"/>
      <c r="AA27" s="10"/>
    </row>
    <row r="28" spans="1:27" x14ac:dyDescent="0.45">
      <c r="A28" s="16">
        <v>2012</v>
      </c>
      <c r="B28" s="10">
        <v>20.664205294669099</v>
      </c>
      <c r="C28" s="10">
        <v>62.284141188942002</v>
      </c>
      <c r="D28" s="10">
        <f>100*(C28-B28)/B28</f>
        <v>201.410774335512</v>
      </c>
      <c r="E28" s="10">
        <v>330.13426216216197</v>
      </c>
      <c r="F28" s="10">
        <v>249.515391090653</v>
      </c>
      <c r="G28" s="10">
        <f>100*(F28-E28)/E28</f>
        <v>-24.420025520377216</v>
      </c>
      <c r="H28" s="10">
        <v>165.12782795867199</v>
      </c>
      <c r="I28" s="10">
        <v>297.041243358538</v>
      </c>
      <c r="J28" s="10">
        <f>100*(I28-H28)/H28</f>
        <v>79.8856358922623</v>
      </c>
      <c r="K28" s="10">
        <v>1551.61942239121</v>
      </c>
      <c r="L28" s="10">
        <v>468.56691334471998</v>
      </c>
      <c r="M28" s="10">
        <f>100*(L28-K28)/K28</f>
        <v>-69.801427683690065</v>
      </c>
      <c r="N28">
        <v>2693.5243679999999</v>
      </c>
      <c r="O28" s="10">
        <v>23531.079000000002</v>
      </c>
      <c r="P28" s="10">
        <f t="shared" si="1"/>
        <v>114.46667481758911</v>
      </c>
      <c r="Q28" s="10">
        <v>1536.025566</v>
      </c>
      <c r="R28" s="10">
        <v>8761.1863740000008</v>
      </c>
      <c r="S28" s="10">
        <f>((Q28*10^9)/(R28*10^3))/10^3</f>
        <v>175.32164029273048</v>
      </c>
      <c r="T28" s="10">
        <f>100*(S28-P28)/P28</f>
        <v>53.163914800633584</v>
      </c>
      <c r="U28" s="10">
        <v>1433.3363119999999</v>
      </c>
      <c r="V28" s="10">
        <v>22718.902999999998</v>
      </c>
      <c r="W28" s="10">
        <f t="shared" si="0"/>
        <v>63.09003176781907</v>
      </c>
      <c r="X28">
        <v>1310.1118980000001</v>
      </c>
      <c r="Y28" s="10">
        <v>8279.0488999999998</v>
      </c>
      <c r="Z28" s="10">
        <f>((X28*10^9)/(Y28*10^3))/10^3</f>
        <v>158.24425170384004</v>
      </c>
      <c r="AA28" s="10">
        <f>100*(Z28-W28)/W28</f>
        <v>150.82290699456769</v>
      </c>
    </row>
    <row r="29" spans="1:27" x14ac:dyDescent="0.45">
      <c r="A29" s="16">
        <v>2013</v>
      </c>
      <c r="B29" s="10">
        <v>20.190637213744701</v>
      </c>
      <c r="C29" s="10"/>
      <c r="D29" s="10"/>
      <c r="E29" s="10">
        <v>328.27326519916102</v>
      </c>
      <c r="F29" s="10"/>
      <c r="G29" s="10"/>
      <c r="H29" s="10">
        <v>164.25099772941201</v>
      </c>
      <c r="I29" s="10"/>
      <c r="J29" s="10"/>
      <c r="K29" s="10">
        <v>1682.77895177905</v>
      </c>
      <c r="L29" s="10"/>
      <c r="M29" s="10"/>
      <c r="N29">
        <v>2805.5561210000001</v>
      </c>
      <c r="O29" s="10">
        <v>24019.317999999999</v>
      </c>
      <c r="P29" s="10">
        <f t="shared" si="1"/>
        <v>116.80415409796399</v>
      </c>
      <c r="Q29" s="10"/>
      <c r="R29" s="10"/>
      <c r="S29" s="10"/>
      <c r="T29" s="10"/>
      <c r="U29" s="10">
        <v>1452.135714</v>
      </c>
      <c r="V29" s="10">
        <v>23215.041000000001</v>
      </c>
      <c r="W29" s="10">
        <f t="shared" si="0"/>
        <v>62.551503312012237</v>
      </c>
      <c r="Y29" s="10"/>
      <c r="Z29" s="10"/>
      <c r="AA29" s="10"/>
    </row>
    <row r="30" spans="1:27" x14ac:dyDescent="0.45">
      <c r="A30" s="16">
        <v>2014</v>
      </c>
      <c r="B30" s="10"/>
      <c r="C30" s="10"/>
      <c r="D30" s="10"/>
      <c r="E30" s="10">
        <v>341.60620996978798</v>
      </c>
      <c r="F30" s="10"/>
      <c r="G30" s="10"/>
      <c r="H30" s="10"/>
      <c r="I30" s="10"/>
      <c r="J30" s="10"/>
      <c r="K30" s="10"/>
      <c r="L30" s="10"/>
      <c r="M30" s="10"/>
      <c r="N30" s="11"/>
      <c r="O30" s="11"/>
      <c r="P30" s="11"/>
      <c r="Q30" s="10"/>
      <c r="R30" s="10"/>
      <c r="S30" s="10"/>
      <c r="T30" s="10"/>
      <c r="U30" s="11"/>
      <c r="V30" s="11"/>
      <c r="W30" s="11"/>
      <c r="Y30" s="10"/>
      <c r="Z30" s="10"/>
      <c r="AA30" s="10"/>
    </row>
    <row r="31" spans="1:27" x14ac:dyDescent="0.45">
      <c r="A31" s="16">
        <v>2015</v>
      </c>
      <c r="B31" s="10"/>
      <c r="C31" s="10">
        <v>50.728218740954603</v>
      </c>
      <c r="D31" s="10"/>
      <c r="E31" s="10"/>
      <c r="F31" s="10">
        <v>331.32997605445797</v>
      </c>
      <c r="G31" s="10"/>
      <c r="H31" s="10"/>
      <c r="I31" s="10">
        <v>378.78513431566302</v>
      </c>
      <c r="J31" s="10"/>
      <c r="K31" s="10"/>
      <c r="L31" s="10">
        <v>394.20825062788902</v>
      </c>
      <c r="M31" s="10"/>
      <c r="N31" s="11"/>
      <c r="O31" s="11"/>
      <c r="P31" s="11"/>
      <c r="Q31" s="10">
        <v>2256.3174629999999</v>
      </c>
      <c r="R31" s="10">
        <v>11319.5506831</v>
      </c>
      <c r="S31" s="10">
        <f>((Q31*10^9)/(R31*10^3))/10^3</f>
        <v>199.32924249092892</v>
      </c>
      <c r="T31" s="11"/>
      <c r="U31" s="11"/>
      <c r="V31" s="11"/>
      <c r="W31" s="11"/>
      <c r="X31">
        <v>2034.32</v>
      </c>
      <c r="Y31" s="10">
        <v>10756.403</v>
      </c>
      <c r="Z31" s="10">
        <f>((X31*10^9)/(Y31*10^3))/10^3</f>
        <v>189.12642079327074</v>
      </c>
      <c r="AA31" s="11"/>
    </row>
    <row r="32" spans="1:27" x14ac:dyDescent="0.45">
      <c r="A32" s="1" t="s">
        <v>38</v>
      </c>
      <c r="B32" s="13">
        <f t="shared" ref="B32:AA32" si="2">AVERAGE(B$4:B$31)</f>
        <v>17.357143418387391</v>
      </c>
      <c r="C32" s="13">
        <f t="shared" si="2"/>
        <v>64.086249661883059</v>
      </c>
      <c r="D32" s="13">
        <f t="shared" si="2"/>
        <v>283.34227107082</v>
      </c>
      <c r="E32" s="13">
        <f t="shared" si="2"/>
        <v>205.850078116437</v>
      </c>
      <c r="F32" s="13">
        <f t="shared" si="2"/>
        <v>289.7214456781436</v>
      </c>
      <c r="G32" s="13">
        <f t="shared" si="2"/>
        <v>70.939208280749327</v>
      </c>
      <c r="H32" s="13">
        <f t="shared" si="2"/>
        <v>120.18872352742309</v>
      </c>
      <c r="I32" s="13">
        <f t="shared" si="2"/>
        <v>260.0455903019535</v>
      </c>
      <c r="J32" s="13">
        <f t="shared" si="2"/>
        <v>103.76383920263717</v>
      </c>
      <c r="K32" s="13">
        <f t="shared" si="2"/>
        <v>901.38211554640372</v>
      </c>
      <c r="L32" s="13">
        <f t="shared" si="2"/>
        <v>289.39189591501065</v>
      </c>
      <c r="M32" s="13">
        <f t="shared" si="2"/>
        <v>-64.742661271014555</v>
      </c>
      <c r="N32" s="13">
        <f t="shared" si="2"/>
        <v>1639.2315182916664</v>
      </c>
      <c r="O32" s="13">
        <f t="shared" si="2"/>
        <v>19076.032541666671</v>
      </c>
      <c r="P32" s="13">
        <f t="shared" si="2"/>
        <v>82.593454403526763</v>
      </c>
      <c r="Q32" s="13">
        <f t="shared" si="2"/>
        <v>1396.4267561899999</v>
      </c>
      <c r="R32" s="13">
        <f t="shared" si="2"/>
        <v>8284.8975125800007</v>
      </c>
      <c r="S32" s="13">
        <f t="shared" si="2"/>
        <v>162.69595431564093</v>
      </c>
      <c r="T32" s="13">
        <f t="shared" si="2"/>
        <v>109.38848133930249</v>
      </c>
      <c r="U32" s="13">
        <f t="shared" si="2"/>
        <v>767.8984438846154</v>
      </c>
      <c r="V32" s="13">
        <f t="shared" si="2"/>
        <v>17745.925999999999</v>
      </c>
      <c r="W32" s="13">
        <f t="shared" si="2"/>
        <v>40.837897195579906</v>
      </c>
      <c r="X32" s="13">
        <f t="shared" si="2"/>
        <v>1182.7239797999998</v>
      </c>
      <c r="Y32" s="13">
        <f t="shared" si="2"/>
        <v>7512.7316183599996</v>
      </c>
      <c r="Z32" s="13">
        <f t="shared" si="2"/>
        <v>150.10085794178448</v>
      </c>
      <c r="AA32" s="13">
        <f t="shared" si="2"/>
        <v>277.51000514473861</v>
      </c>
    </row>
    <row r="33" spans="1:27" x14ac:dyDescent="0.45">
      <c r="A33" s="1" t="s">
        <v>39</v>
      </c>
      <c r="B33" s="13">
        <f t="shared" ref="B33:AA33" si="3">MIN(B$4:B$31)</f>
        <v>13.606380107847</v>
      </c>
      <c r="C33" s="13">
        <f t="shared" si="3"/>
        <v>40.354408272810502</v>
      </c>
      <c r="D33" s="13">
        <f t="shared" si="3"/>
        <v>166.18272148063204</v>
      </c>
      <c r="E33" s="13">
        <f t="shared" si="3"/>
        <v>82.378351831298602</v>
      </c>
      <c r="F33" s="13">
        <f t="shared" si="3"/>
        <v>92.736910084189702</v>
      </c>
      <c r="G33" s="13">
        <f t="shared" si="3"/>
        <v>-24.420025520377216</v>
      </c>
      <c r="H33" s="13">
        <f t="shared" si="3"/>
        <v>78.034423326866204</v>
      </c>
      <c r="I33" s="13">
        <f t="shared" si="3"/>
        <v>124.441868871095</v>
      </c>
      <c r="J33" s="13">
        <f t="shared" si="3"/>
        <v>35.605038336840941</v>
      </c>
      <c r="K33" s="13">
        <f t="shared" si="3"/>
        <v>387.21637995190298</v>
      </c>
      <c r="L33" s="13">
        <f t="shared" si="3"/>
        <v>157.798409966062</v>
      </c>
      <c r="M33" s="13">
        <f t="shared" si="3"/>
        <v>-76.55444491554961</v>
      </c>
      <c r="N33" s="13">
        <f t="shared" si="3"/>
        <v>687.34621600000003</v>
      </c>
      <c r="O33" s="13">
        <f t="shared" si="3"/>
        <v>14852.602999999999</v>
      </c>
      <c r="P33" s="13">
        <f t="shared" si="3"/>
        <v>45.322807912923807</v>
      </c>
      <c r="Q33" s="13">
        <f t="shared" si="3"/>
        <v>527.93078100000002</v>
      </c>
      <c r="R33" s="13">
        <f t="shared" si="3"/>
        <v>6147.7135752000004</v>
      </c>
      <c r="S33" s="13">
        <f t="shared" si="3"/>
        <v>85.874329462856451</v>
      </c>
      <c r="T33" s="13">
        <f t="shared" si="3"/>
        <v>53.163914800633584</v>
      </c>
      <c r="U33" s="13">
        <f t="shared" si="3"/>
        <v>289.09494000000001</v>
      </c>
      <c r="V33" s="13">
        <f t="shared" si="3"/>
        <v>13018.674999999999</v>
      </c>
      <c r="W33" s="13">
        <f t="shared" si="3"/>
        <v>21.818371144372009</v>
      </c>
      <c r="X33" s="13">
        <f t="shared" si="3"/>
        <v>369.45580000000001</v>
      </c>
      <c r="Y33" s="13">
        <f t="shared" si="3"/>
        <v>5267.48927</v>
      </c>
      <c r="Z33" s="13">
        <f t="shared" si="3"/>
        <v>70.138880415792471</v>
      </c>
      <c r="AA33" s="13">
        <f t="shared" si="3"/>
        <v>150.82290699456769</v>
      </c>
    </row>
    <row r="34" spans="1:27" x14ac:dyDescent="0.45">
      <c r="A34" s="1" t="s">
        <v>40</v>
      </c>
      <c r="B34" s="13">
        <f t="shared" ref="B34:AA34" si="4">MAX(B$4:B$31)</f>
        <v>20.664205294669099</v>
      </c>
      <c r="C34" s="13">
        <f t="shared" si="4"/>
        <v>107.197719422459</v>
      </c>
      <c r="D34" s="13">
        <f t="shared" si="4"/>
        <v>492.47874085799504</v>
      </c>
      <c r="E34" s="13">
        <f t="shared" si="4"/>
        <v>341.60620996978798</v>
      </c>
      <c r="F34" s="13">
        <f t="shared" si="4"/>
        <v>493.23385876318702</v>
      </c>
      <c r="G34" s="13">
        <f t="shared" si="4"/>
        <v>354.24518317463435</v>
      </c>
      <c r="H34" s="13">
        <f t="shared" si="4"/>
        <v>165.12782795867199</v>
      </c>
      <c r="I34" s="13">
        <f t="shared" si="4"/>
        <v>388.78295069178802</v>
      </c>
      <c r="J34" s="13">
        <f t="shared" si="4"/>
        <v>180.57102421020411</v>
      </c>
      <c r="K34" s="13">
        <f t="shared" si="4"/>
        <v>1682.77895177905</v>
      </c>
      <c r="L34" s="13">
        <f t="shared" si="4"/>
        <v>468.56691334471998</v>
      </c>
      <c r="M34" s="13">
        <f t="shared" si="4"/>
        <v>-46.659894921432716</v>
      </c>
      <c r="N34" s="13">
        <f t="shared" si="4"/>
        <v>2805.5561210000001</v>
      </c>
      <c r="O34" s="13">
        <f t="shared" si="4"/>
        <v>24019.317999999999</v>
      </c>
      <c r="P34" s="13">
        <f t="shared" si="4"/>
        <v>122.5518861388469</v>
      </c>
      <c r="Q34" s="13">
        <f t="shared" si="4"/>
        <v>2319.7325300000002</v>
      </c>
      <c r="R34" s="13">
        <f t="shared" si="4"/>
        <v>11319.5506831</v>
      </c>
      <c r="S34" s="13">
        <f t="shared" si="4"/>
        <v>232.85541280794752</v>
      </c>
      <c r="T34" s="13">
        <f t="shared" si="4"/>
        <v>166.39748461784083</v>
      </c>
      <c r="U34" s="13">
        <f t="shared" si="4"/>
        <v>1452.135714</v>
      </c>
      <c r="V34" s="13">
        <f t="shared" si="4"/>
        <v>23215.041000000001</v>
      </c>
      <c r="W34" s="13">
        <f t="shared" si="4"/>
        <v>63.09003176781907</v>
      </c>
      <c r="X34" s="13">
        <f t="shared" si="4"/>
        <v>2047.6873000000001</v>
      </c>
      <c r="Y34" s="13">
        <f t="shared" si="4"/>
        <v>10756.403</v>
      </c>
      <c r="Z34" s="13">
        <f t="shared" si="4"/>
        <v>222.19902352271814</v>
      </c>
      <c r="AA34" s="13">
        <f t="shared" si="4"/>
        <v>445.64533899395985</v>
      </c>
    </row>
    <row r="35" spans="1:27" x14ac:dyDescent="0.45">
      <c r="A35" s="1" t="s">
        <v>41</v>
      </c>
      <c r="B35" s="13">
        <f t="shared" ref="B35:AA35" si="5">_xlfn.STDEV.P(B$4:B$31)</f>
        <v>2.3024157300923052</v>
      </c>
      <c r="C35" s="13">
        <f t="shared" si="5"/>
        <v>17.862215277709158</v>
      </c>
      <c r="D35" s="13">
        <f t="shared" si="5"/>
        <v>98.545715151621081</v>
      </c>
      <c r="E35" s="13">
        <f t="shared" si="5"/>
        <v>92.03589089321801</v>
      </c>
      <c r="F35" s="13">
        <f t="shared" si="5"/>
        <v>120.79519160091243</v>
      </c>
      <c r="G35" s="13">
        <f t="shared" si="5"/>
        <v>108.70303507955198</v>
      </c>
      <c r="H35" s="13">
        <f t="shared" si="5"/>
        <v>27.167988699309799</v>
      </c>
      <c r="I35" s="13">
        <f t="shared" si="5"/>
        <v>89.157598194320158</v>
      </c>
      <c r="J35" s="13">
        <f t="shared" si="5"/>
        <v>41.534477315911502</v>
      </c>
      <c r="K35" s="13">
        <f t="shared" si="5"/>
        <v>420.28903985417378</v>
      </c>
      <c r="L35" s="13">
        <f t="shared" si="5"/>
        <v>105.28932830582512</v>
      </c>
      <c r="M35" s="13">
        <f t="shared" si="5"/>
        <v>10.764679948752176</v>
      </c>
      <c r="N35" s="13">
        <f t="shared" si="5"/>
        <v>680.9239524087177</v>
      </c>
      <c r="O35" s="13">
        <f t="shared" si="5"/>
        <v>2892.8466711624646</v>
      </c>
      <c r="P35" s="13">
        <f t="shared" si="5"/>
        <v>23.370118085529953</v>
      </c>
      <c r="Q35" s="13">
        <f t="shared" si="5"/>
        <v>565.68687697069947</v>
      </c>
      <c r="R35" s="13">
        <f t="shared" si="5"/>
        <v>1582.5283376681821</v>
      </c>
      <c r="S35" s="13">
        <f t="shared" si="5"/>
        <v>43.988912733575845</v>
      </c>
      <c r="T35" s="13">
        <f t="shared" si="5"/>
        <v>36.43034952641834</v>
      </c>
      <c r="U35" s="13">
        <f t="shared" si="5"/>
        <v>382.08093543140234</v>
      </c>
      <c r="V35" s="13">
        <f t="shared" si="5"/>
        <v>3138.9894791348306</v>
      </c>
      <c r="W35" s="13">
        <f t="shared" si="5"/>
        <v>13.981406369197975</v>
      </c>
      <c r="X35" s="13">
        <f t="shared" si="5"/>
        <v>540.30737786369059</v>
      </c>
      <c r="Y35" s="13">
        <f t="shared" si="5"/>
        <v>1724.3313352484029</v>
      </c>
      <c r="Z35" s="13">
        <f t="shared" si="5"/>
        <v>43.954439268947162</v>
      </c>
      <c r="AA35" s="13">
        <f t="shared" si="5"/>
        <v>82.527954241928143</v>
      </c>
    </row>
  </sheetData>
  <mergeCells count="7">
    <mergeCell ref="B1:AA1"/>
    <mergeCell ref="B2:D2"/>
    <mergeCell ref="E2:G2"/>
    <mergeCell ref="H2:J2"/>
    <mergeCell ref="K2:M2"/>
    <mergeCell ref="N2:T2"/>
    <mergeCell ref="U2:AA2"/>
  </mergeCells>
  <pageMargins left="0.7" right="0.7" top="0.75" bottom="0.75" header="0.51180555555555496" footer="0.51180555555555496"/>
  <pageSetup scale="37" firstPageNumber="0"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A35"/>
  <sheetViews>
    <sheetView topLeftCell="H16" zoomScaleNormal="100" workbookViewId="0">
      <selection activeCell="AB10" sqref="AB10"/>
    </sheetView>
  </sheetViews>
  <sheetFormatPr defaultRowHeight="14.25" x14ac:dyDescent="0.45"/>
  <cols>
    <col min="1" max="1" width="8.86328125" style="7"/>
    <col min="15" max="18" width="8.3984375"/>
    <col min="21" max="24" width="8.3984375"/>
    <col min="28" max="1025" width="8.3984375"/>
  </cols>
  <sheetData>
    <row r="1" spans="1:27" ht="18" customHeight="1" x14ac:dyDescent="0.45">
      <c r="A1" s="17"/>
      <c r="B1" s="97" t="s">
        <v>43</v>
      </c>
      <c r="C1" s="97"/>
      <c r="D1" s="97"/>
      <c r="E1" s="97"/>
      <c r="F1" s="97"/>
      <c r="G1" s="97"/>
      <c r="H1" s="97"/>
      <c r="I1" s="97"/>
      <c r="J1" s="97"/>
      <c r="K1" s="97"/>
      <c r="L1" s="97"/>
      <c r="M1" s="97"/>
      <c r="N1" s="97"/>
      <c r="O1" s="97"/>
      <c r="P1" s="97"/>
      <c r="Q1" s="97"/>
      <c r="R1" s="97"/>
      <c r="S1" s="97"/>
      <c r="T1" s="97"/>
      <c r="U1" s="97"/>
      <c r="V1" s="97"/>
      <c r="W1" s="97"/>
      <c r="X1" s="97"/>
      <c r="Y1" s="97"/>
      <c r="Z1" s="97"/>
      <c r="AA1" s="97"/>
    </row>
    <row r="2" spans="1:27" ht="14.25" customHeight="1" x14ac:dyDescent="0.45">
      <c r="A2" s="17"/>
      <c r="B2" s="98" t="s">
        <v>12</v>
      </c>
      <c r="C2" s="98"/>
      <c r="D2" s="98"/>
      <c r="E2" s="98" t="s">
        <v>13</v>
      </c>
      <c r="F2" s="98"/>
      <c r="G2" s="98"/>
      <c r="H2" s="98" t="s">
        <v>14</v>
      </c>
      <c r="I2" s="98"/>
      <c r="J2" s="98"/>
      <c r="K2" s="98" t="s">
        <v>15</v>
      </c>
      <c r="L2" s="98"/>
      <c r="M2" s="98"/>
      <c r="N2" s="96" t="s">
        <v>16</v>
      </c>
      <c r="O2" s="96"/>
      <c r="P2" s="96"/>
      <c r="Q2" s="96"/>
      <c r="R2" s="96"/>
      <c r="S2" s="96"/>
      <c r="T2" s="96"/>
      <c r="U2" s="96" t="s">
        <v>17</v>
      </c>
      <c r="V2" s="96"/>
      <c r="W2" s="96"/>
      <c r="X2" s="96"/>
      <c r="Y2" s="96"/>
      <c r="Z2" s="96"/>
      <c r="AA2" s="96"/>
    </row>
    <row r="3" spans="1:27" ht="42.75" x14ac:dyDescent="0.45">
      <c r="A3" s="17" t="s">
        <v>2</v>
      </c>
      <c r="B3" s="18" t="s">
        <v>6</v>
      </c>
      <c r="C3" s="18" t="s">
        <v>7</v>
      </c>
      <c r="D3" s="19" t="s">
        <v>5</v>
      </c>
      <c r="E3" s="18" t="s">
        <v>6</v>
      </c>
      <c r="F3" s="18" t="s">
        <v>7</v>
      </c>
      <c r="G3" s="19" t="s">
        <v>5</v>
      </c>
      <c r="H3" s="18" t="s">
        <v>6</v>
      </c>
      <c r="I3" s="18" t="s">
        <v>7</v>
      </c>
      <c r="J3" s="19" t="s">
        <v>5</v>
      </c>
      <c r="K3" s="18" t="s">
        <v>6</v>
      </c>
      <c r="L3" s="18" t="s">
        <v>7</v>
      </c>
      <c r="M3" s="19" t="s">
        <v>5</v>
      </c>
      <c r="N3" s="8" t="s">
        <v>44</v>
      </c>
      <c r="O3" s="8" t="s">
        <v>28</v>
      </c>
      <c r="P3" s="8" t="s">
        <v>45</v>
      </c>
      <c r="Q3" s="8" t="s">
        <v>46</v>
      </c>
      <c r="R3" s="8" t="s">
        <v>31</v>
      </c>
      <c r="S3" s="8" t="s">
        <v>47</v>
      </c>
      <c r="T3" s="9" t="s">
        <v>5</v>
      </c>
      <c r="U3" s="8" t="s">
        <v>44</v>
      </c>
      <c r="V3" s="8" t="s">
        <v>28</v>
      </c>
      <c r="W3" s="8" t="s">
        <v>45</v>
      </c>
      <c r="X3" s="8" t="s">
        <v>46</v>
      </c>
      <c r="Y3" s="8" t="s">
        <v>31</v>
      </c>
      <c r="Z3" s="8" t="s">
        <v>47</v>
      </c>
      <c r="AA3" s="9" t="s">
        <v>5</v>
      </c>
    </row>
    <row r="4" spans="1:27" x14ac:dyDescent="0.45">
      <c r="A4" s="17">
        <v>1988</v>
      </c>
      <c r="B4" s="15">
        <v>6.92881163646374</v>
      </c>
      <c r="C4" s="15">
        <v>1.40548016006578</v>
      </c>
      <c r="D4" s="15">
        <f>100*(C4-B4)/B4</f>
        <v>-79.715422588929044</v>
      </c>
      <c r="E4" s="15">
        <v>54.231005312085003</v>
      </c>
      <c r="F4" s="15">
        <v>9.0528603062494302</v>
      </c>
      <c r="G4" s="15">
        <f>100*(F4-E4)/E4</f>
        <v>-83.306855083816671</v>
      </c>
      <c r="H4" s="15">
        <v>39.6035231629291</v>
      </c>
      <c r="I4" s="15">
        <v>31.9209905958426</v>
      </c>
      <c r="J4" s="15">
        <f>100*(I4-H4)/H4</f>
        <v>-19.398608895174608</v>
      </c>
      <c r="K4" s="15"/>
      <c r="L4" s="15">
        <v>12.5177387821444</v>
      </c>
      <c r="M4" s="20"/>
      <c r="N4" s="20"/>
      <c r="O4" s="20"/>
      <c r="P4" s="20"/>
      <c r="Q4" s="15">
        <v>21.2451933</v>
      </c>
      <c r="R4" s="15">
        <v>3615.8978072999998</v>
      </c>
      <c r="S4" s="10">
        <f>((Q4*10^9)/(R4*10^3))/10^3</f>
        <v>5.8754960544263382</v>
      </c>
      <c r="T4" s="20"/>
      <c r="U4" s="15">
        <v>97.157821999999996</v>
      </c>
      <c r="V4" s="15">
        <v>5939.3450000000003</v>
      </c>
      <c r="W4" s="10">
        <f t="shared" ref="W4:W29" si="0">((U4*10^9)/(V4*10^3))/10^3</f>
        <v>16.358339513868955</v>
      </c>
      <c r="X4" s="15">
        <v>18.358499999999999</v>
      </c>
      <c r="Y4" s="15">
        <v>3385.2896000000001</v>
      </c>
      <c r="Z4" s="10">
        <f>((X4*10^9)/(Y4*10^3))/10^3</f>
        <v>5.4230220067435297</v>
      </c>
      <c r="AA4" s="10">
        <f>100*(Z4-W4)/W4</f>
        <v>-66.848578963984863</v>
      </c>
    </row>
    <row r="5" spans="1:27" x14ac:dyDescent="0.45">
      <c r="A5" s="17">
        <v>1989</v>
      </c>
      <c r="B5" s="15">
        <v>6.8086792997129297</v>
      </c>
      <c r="C5" s="15"/>
      <c r="D5" s="15"/>
      <c r="E5" s="15">
        <v>60.768101763907701</v>
      </c>
      <c r="F5" s="15"/>
      <c r="G5" s="15"/>
      <c r="H5" s="15">
        <v>43.843565911954499</v>
      </c>
      <c r="I5" s="15"/>
      <c r="J5" s="15"/>
      <c r="K5" s="15"/>
      <c r="L5" s="15"/>
      <c r="M5" s="15"/>
      <c r="N5" s="20"/>
      <c r="O5" s="20"/>
      <c r="P5" s="20"/>
      <c r="Q5" s="15"/>
      <c r="R5" s="15"/>
      <c r="T5" s="15"/>
      <c r="U5" s="15">
        <v>107.04165399999999</v>
      </c>
      <c r="V5" s="15">
        <v>6051.3720000000003</v>
      </c>
      <c r="W5" s="10">
        <f t="shared" si="0"/>
        <v>17.688823955955773</v>
      </c>
      <c r="X5" s="15"/>
      <c r="Y5" s="15"/>
      <c r="Z5" s="15"/>
      <c r="AA5" s="15"/>
    </row>
    <row r="6" spans="1:27" x14ac:dyDescent="0.45">
      <c r="A6" s="17">
        <v>1990</v>
      </c>
      <c r="B6" s="15">
        <v>6.5613408039862398</v>
      </c>
      <c r="C6" s="15"/>
      <c r="D6" s="15"/>
      <c r="E6" s="15">
        <v>66.265848354792595</v>
      </c>
      <c r="F6" s="15"/>
      <c r="G6" s="15"/>
      <c r="H6" s="15">
        <v>44.422933222778902</v>
      </c>
      <c r="I6" s="15"/>
      <c r="J6" s="15"/>
      <c r="K6" s="15">
        <v>163.09657856582601</v>
      </c>
      <c r="L6" s="15"/>
      <c r="M6" s="15"/>
      <c r="N6" s="15">
        <v>251.18961899999999</v>
      </c>
      <c r="O6" s="15">
        <v>7226.8779999999997</v>
      </c>
      <c r="P6" s="10">
        <f t="shared" ref="P6:P29" si="1">((N6*10^9)/(O6*10^3))/10^3</f>
        <v>34.757694678116891</v>
      </c>
      <c r="Q6" s="15"/>
      <c r="R6" s="15"/>
      <c r="T6" s="15"/>
      <c r="U6" s="15">
        <v>113.950372</v>
      </c>
      <c r="V6" s="15">
        <v>6385.4179999999997</v>
      </c>
      <c r="W6" s="10">
        <f t="shared" si="0"/>
        <v>17.845405265559748</v>
      </c>
      <c r="X6" s="15"/>
      <c r="Y6" s="15"/>
      <c r="Z6" s="15"/>
      <c r="AA6" s="15"/>
    </row>
    <row r="7" spans="1:27" x14ac:dyDescent="0.45">
      <c r="A7" s="17">
        <v>1991</v>
      </c>
      <c r="B7" s="15">
        <v>6.6789709443657603</v>
      </c>
      <c r="C7" s="15">
        <v>0.65062456373481203</v>
      </c>
      <c r="D7" s="15">
        <f>100*(C7-B7)/B7</f>
        <v>-90.258610657923796</v>
      </c>
      <c r="E7" s="15">
        <v>70.181557575757594</v>
      </c>
      <c r="F7" s="15">
        <v>2.3487353959605199</v>
      </c>
      <c r="G7" s="15">
        <f>100*(F7-E7)/E7</f>
        <v>-96.653343873958377</v>
      </c>
      <c r="H7" s="15">
        <v>43.404966972846701</v>
      </c>
      <c r="I7" s="15">
        <v>3.65335570055823</v>
      </c>
      <c r="J7" s="15">
        <f>100*(I7-H7)/H7</f>
        <v>-91.583093006743454</v>
      </c>
      <c r="K7" s="15">
        <v>174.13056033968201</v>
      </c>
      <c r="L7" s="15">
        <v>21.721505123886899</v>
      </c>
      <c r="M7" s="15">
        <f>100*(L7-K7)/K7</f>
        <v>-87.525736389112808</v>
      </c>
      <c r="N7" s="15">
        <v>263.78121499999997</v>
      </c>
      <c r="O7" s="15">
        <v>7341.835</v>
      </c>
      <c r="P7" s="10">
        <f t="shared" si="1"/>
        <v>35.928513103331795</v>
      </c>
      <c r="Q7" s="15">
        <v>15.26507</v>
      </c>
      <c r="R7" s="15">
        <v>5342.1985199999999</v>
      </c>
      <c r="S7" s="10">
        <f>((Q7*10^9)/(R7*10^3))/10^3</f>
        <v>2.8574509058117146</v>
      </c>
      <c r="T7" s="10">
        <f>100*(S7-P7)/P7</f>
        <v>-92.046843414884506</v>
      </c>
      <c r="U7" s="15">
        <v>116.472159</v>
      </c>
      <c r="V7" s="15">
        <v>6495.866</v>
      </c>
      <c r="W7" s="10">
        <f t="shared" si="0"/>
        <v>17.930197297789086</v>
      </c>
      <c r="X7" s="15">
        <v>5.6341000000000001</v>
      </c>
      <c r="Y7" s="15">
        <v>4898.8144199999997</v>
      </c>
      <c r="Z7" s="10">
        <f>((X7*10^9)/(Y7*10^3))/10^3</f>
        <v>1.1500945977863761</v>
      </c>
      <c r="AA7" s="10">
        <f>100*(Z7-W7)/W7</f>
        <v>-93.585711419203449</v>
      </c>
    </row>
    <row r="8" spans="1:27" x14ac:dyDescent="0.45">
      <c r="A8" s="17">
        <v>1992</v>
      </c>
      <c r="B8" s="15">
        <v>6.2099673561500301</v>
      </c>
      <c r="C8" s="15"/>
      <c r="D8" s="15"/>
      <c r="E8" s="15">
        <v>67.628613672496002</v>
      </c>
      <c r="F8" s="15"/>
      <c r="G8" s="15"/>
      <c r="H8" s="15">
        <v>39.380273797987499</v>
      </c>
      <c r="I8" s="15"/>
      <c r="J8" s="15"/>
      <c r="K8" s="15">
        <v>153.916330070577</v>
      </c>
      <c r="L8" s="15"/>
      <c r="M8" s="15"/>
      <c r="N8" s="15">
        <v>232.896951</v>
      </c>
      <c r="O8" s="15">
        <v>7453.0140000000001</v>
      </c>
      <c r="P8" s="10">
        <f t="shared" si="1"/>
        <v>31.248693615764036</v>
      </c>
      <c r="Q8" s="15"/>
      <c r="R8" s="15"/>
      <c r="T8" s="15"/>
      <c r="U8" s="15">
        <v>107.87087</v>
      </c>
      <c r="V8" s="15">
        <v>6640.7150000000001</v>
      </c>
      <c r="W8" s="10">
        <f t="shared" si="0"/>
        <v>16.243863800810605</v>
      </c>
      <c r="X8" s="15"/>
      <c r="Y8" s="15"/>
      <c r="Z8" s="15"/>
      <c r="AA8" s="15"/>
    </row>
    <row r="9" spans="1:27" x14ac:dyDescent="0.45">
      <c r="A9" s="17">
        <v>1993</v>
      </c>
      <c r="B9" s="15">
        <v>6.2937313516545199</v>
      </c>
      <c r="C9" s="15"/>
      <c r="D9" s="15"/>
      <c r="E9" s="15">
        <v>66.8009197324415</v>
      </c>
      <c r="F9" s="15"/>
      <c r="G9" s="15"/>
      <c r="H9" s="15">
        <v>36.642668935578598</v>
      </c>
      <c r="I9" s="15"/>
      <c r="J9" s="15"/>
      <c r="K9" s="15">
        <v>149.499994928093</v>
      </c>
      <c r="L9" s="15"/>
      <c r="M9" s="15"/>
      <c r="N9" s="15">
        <v>223.98852299999999</v>
      </c>
      <c r="O9" s="15">
        <v>7621.8389999999999</v>
      </c>
      <c r="P9" s="10">
        <f t="shared" si="1"/>
        <v>29.387726898980681</v>
      </c>
      <c r="Q9" s="15"/>
      <c r="R9" s="15"/>
      <c r="T9" s="15"/>
      <c r="U9" s="15">
        <v>106.08415599999999</v>
      </c>
      <c r="V9" s="15">
        <v>6833.1809999999996</v>
      </c>
      <c r="W9" s="10">
        <f t="shared" si="0"/>
        <v>15.524856724854793</v>
      </c>
      <c r="X9" s="15"/>
      <c r="Y9" s="15"/>
      <c r="Z9" s="15"/>
      <c r="AA9" s="15"/>
    </row>
    <row r="10" spans="1:27" x14ac:dyDescent="0.45">
      <c r="A10" s="17">
        <v>1994</v>
      </c>
      <c r="B10" s="15">
        <v>6.7538988191699598</v>
      </c>
      <c r="C10" s="15">
        <v>1.0625536828301201</v>
      </c>
      <c r="D10" s="15">
        <f>100*(C10-B10)/B10</f>
        <v>-84.267551065257052</v>
      </c>
      <c r="E10" s="15">
        <v>66.779112582781394</v>
      </c>
      <c r="F10" s="15">
        <v>1.0082017740945</v>
      </c>
      <c r="G10" s="15">
        <f>100*(F10-E10)/E10</f>
        <v>-98.490243827596984</v>
      </c>
      <c r="H10" s="15">
        <v>36.104349268093401</v>
      </c>
      <c r="I10" s="15">
        <v>5.3318825125138396</v>
      </c>
      <c r="J10" s="15">
        <f>100*(I10-H10)/H10</f>
        <v>-85.232021569141537</v>
      </c>
      <c r="K10" s="15">
        <v>130.10107691691701</v>
      </c>
      <c r="L10" s="15">
        <v>1.4027937220664399</v>
      </c>
      <c r="M10" s="15">
        <f>100*(L10-K10)/K10</f>
        <v>-98.921766248743452</v>
      </c>
      <c r="N10" s="15">
        <v>226.998322</v>
      </c>
      <c r="O10" s="15">
        <v>7865.4579999999996</v>
      </c>
      <c r="P10" s="10">
        <f t="shared" si="1"/>
        <v>28.860153089623008</v>
      </c>
      <c r="Q10" s="15">
        <v>6.2575989999999999</v>
      </c>
      <c r="R10" s="15">
        <v>4302.1436702000001</v>
      </c>
      <c r="S10" s="10">
        <f>((Q10*10^9)/(R10*10^3))/10^3</f>
        <v>1.4545304573031828</v>
      </c>
      <c r="T10" s="10">
        <f>100*(S10-P10)/P10</f>
        <v>-94.960073660086806</v>
      </c>
      <c r="U10" s="15">
        <v>110.031209</v>
      </c>
      <c r="V10" s="15">
        <v>6966.41</v>
      </c>
      <c r="W10" s="10">
        <f t="shared" si="0"/>
        <v>15.794535348909983</v>
      </c>
      <c r="X10" s="15">
        <v>5.8936999999999999</v>
      </c>
      <c r="Y10" s="15">
        <v>4042.7334701999998</v>
      </c>
      <c r="Z10" s="10">
        <f>((X10*10^9)/(Y10*10^3))/10^3</f>
        <v>1.4578502499469572</v>
      </c>
      <c r="AA10" s="10">
        <f>100*(Z10-W10)/W10</f>
        <v>-90.769907327172064</v>
      </c>
    </row>
    <row r="11" spans="1:27" x14ac:dyDescent="0.45">
      <c r="A11" s="17">
        <v>1995</v>
      </c>
      <c r="B11" s="15">
        <v>6.7516269611812101</v>
      </c>
      <c r="C11" s="15"/>
      <c r="D11" s="15"/>
      <c r="E11" s="15">
        <v>74.410027200000002</v>
      </c>
      <c r="F11" s="15"/>
      <c r="G11" s="15"/>
      <c r="H11" s="15">
        <v>37.321478562375603</v>
      </c>
      <c r="I11" s="15"/>
      <c r="J11" s="15"/>
      <c r="K11" s="15">
        <v>132.930802090154</v>
      </c>
      <c r="L11" s="15"/>
      <c r="M11" s="15"/>
      <c r="N11" s="15">
        <v>242.10633000000001</v>
      </c>
      <c r="O11" s="15">
        <v>8206.0679999999993</v>
      </c>
      <c r="P11" s="10">
        <f t="shared" si="1"/>
        <v>29.503329731120925</v>
      </c>
      <c r="Q11" s="15"/>
      <c r="R11" s="15"/>
      <c r="T11" s="15"/>
      <c r="U11" s="15">
        <v>121.11643599999999</v>
      </c>
      <c r="V11" s="15">
        <v>7295.8959999999997</v>
      </c>
      <c r="W11" s="10">
        <f t="shared" si="0"/>
        <v>16.600625337861178</v>
      </c>
      <c r="X11" s="15"/>
      <c r="Y11" s="15"/>
      <c r="Z11" s="15"/>
      <c r="AA11" s="15"/>
    </row>
    <row r="12" spans="1:27" x14ac:dyDescent="0.45">
      <c r="A12" s="17">
        <v>1996</v>
      </c>
      <c r="B12" s="15">
        <v>6.6866145672177399</v>
      </c>
      <c r="C12" s="15"/>
      <c r="D12" s="15"/>
      <c r="E12" s="15">
        <v>89.719356697819293</v>
      </c>
      <c r="F12" s="15"/>
      <c r="G12" s="15"/>
      <c r="H12" s="15">
        <v>36.335590798827297</v>
      </c>
      <c r="I12" s="15"/>
      <c r="J12" s="15"/>
      <c r="K12" s="15">
        <v>144.68158934978601</v>
      </c>
      <c r="L12" s="15"/>
      <c r="M12" s="15"/>
      <c r="N12" s="15">
        <v>264.46771999999999</v>
      </c>
      <c r="O12" s="15">
        <v>8445.991</v>
      </c>
      <c r="P12" s="10">
        <f t="shared" si="1"/>
        <v>31.312811012940934</v>
      </c>
      <c r="Q12" s="15"/>
      <c r="R12" s="15"/>
      <c r="T12" s="15"/>
      <c r="U12" s="15">
        <v>133.618414</v>
      </c>
      <c r="V12" s="15">
        <v>7541.5959999999995</v>
      </c>
      <c r="W12" s="10">
        <f t="shared" si="0"/>
        <v>17.71752477857472</v>
      </c>
      <c r="X12" s="15"/>
      <c r="Y12" s="15"/>
      <c r="Z12" s="15"/>
      <c r="AA12" s="15"/>
    </row>
    <row r="13" spans="1:27" x14ac:dyDescent="0.45">
      <c r="A13" s="17">
        <v>1997</v>
      </c>
      <c r="B13" s="15">
        <v>6.7457851031706104</v>
      </c>
      <c r="C13" s="15">
        <v>1.2765598721196401</v>
      </c>
      <c r="D13" s="15">
        <f>100*(C13-B13)/B13</f>
        <v>-81.076185312816449</v>
      </c>
      <c r="E13" s="15">
        <v>107.514213855422</v>
      </c>
      <c r="F13" s="15">
        <v>6.0267904201716096</v>
      </c>
      <c r="G13" s="15">
        <f>100*(F13-E13)/E13</f>
        <v>-94.39442450997592</v>
      </c>
      <c r="H13" s="15">
        <v>37.453298687672003</v>
      </c>
      <c r="I13" s="15">
        <v>5.3625230251897298</v>
      </c>
      <c r="J13" s="15">
        <f>100*(I13-H13)/H13</f>
        <v>-85.682107549702053</v>
      </c>
      <c r="K13" s="15">
        <v>165.46512430784401</v>
      </c>
      <c r="L13" s="15">
        <v>53.494008386224102</v>
      </c>
      <c r="M13" s="15">
        <f>100*(L13-K13)/K13</f>
        <v>-67.670523555949018</v>
      </c>
      <c r="N13" s="15">
        <v>298.30488800000001</v>
      </c>
      <c r="O13" s="15">
        <v>8521.6280000000006</v>
      </c>
      <c r="P13" s="10">
        <f t="shared" si="1"/>
        <v>35.005621930457416</v>
      </c>
      <c r="Q13" s="15">
        <v>23.216681999999999</v>
      </c>
      <c r="R13" s="15">
        <v>4202.4328643999997</v>
      </c>
      <c r="S13" s="10">
        <f>((Q13*10^9)/(R13*10^3))/10^3</f>
        <v>5.5245812959143494</v>
      </c>
      <c r="T13" s="10">
        <f>100*(S13-P13)/P13</f>
        <v>-84.21801701769634</v>
      </c>
      <c r="U13" s="15">
        <v>150.68683200000001</v>
      </c>
      <c r="V13" s="15">
        <v>7629.4880000000003</v>
      </c>
      <c r="W13" s="10">
        <f t="shared" si="0"/>
        <v>19.750582476831998</v>
      </c>
      <c r="X13" s="15">
        <v>8.5723299999999991</v>
      </c>
      <c r="Y13" s="15">
        <v>3928.6759999999999</v>
      </c>
      <c r="Z13" s="10">
        <f>((X13*10^9)/(Y13*10^3))/10^3</f>
        <v>2.1819895557689151</v>
      </c>
      <c r="AA13" s="10">
        <f>100*(Z13-W13)/W13</f>
        <v>-88.952277441293433</v>
      </c>
    </row>
    <row r="14" spans="1:27" x14ac:dyDescent="0.45">
      <c r="A14" s="17">
        <v>1998</v>
      </c>
      <c r="B14" s="15">
        <v>7.0745026207253696</v>
      </c>
      <c r="C14" s="15"/>
      <c r="D14" s="15"/>
      <c r="E14" s="15">
        <v>137.69925038167901</v>
      </c>
      <c r="F14" s="15"/>
      <c r="G14" s="15"/>
      <c r="H14" s="15">
        <v>38.874688168583802</v>
      </c>
      <c r="I14" s="15"/>
      <c r="J14" s="15"/>
      <c r="K14" s="15">
        <v>210.94107585630499</v>
      </c>
      <c r="L14" s="15"/>
      <c r="M14" s="15"/>
      <c r="N14" s="15">
        <v>362.45827700000001</v>
      </c>
      <c r="O14" s="15">
        <v>8377.3410000000003</v>
      </c>
      <c r="P14" s="10">
        <f t="shared" si="1"/>
        <v>43.266506281647125</v>
      </c>
      <c r="Q14" s="15"/>
      <c r="R14" s="15"/>
      <c r="T14" s="15"/>
      <c r="U14" s="15">
        <v>172.66045800000001</v>
      </c>
      <c r="V14" s="15">
        <v>7477.5739999999996</v>
      </c>
      <c r="W14" s="10">
        <f t="shared" si="0"/>
        <v>23.0904378880102</v>
      </c>
      <c r="X14" s="15"/>
      <c r="Y14" s="15"/>
      <c r="Z14" s="15"/>
      <c r="AA14" s="15"/>
    </row>
    <row r="15" spans="1:27" x14ac:dyDescent="0.45">
      <c r="A15" s="17">
        <v>1999</v>
      </c>
      <c r="B15" s="15">
        <v>7.1294280591220698</v>
      </c>
      <c r="C15" s="15"/>
      <c r="D15" s="15"/>
      <c r="E15" s="15">
        <v>142.533004329004</v>
      </c>
      <c r="F15" s="15"/>
      <c r="G15" s="15"/>
      <c r="H15" s="15">
        <v>40.395351778599803</v>
      </c>
      <c r="I15" s="15"/>
      <c r="J15" s="15"/>
      <c r="K15" s="15">
        <v>254.88365621934801</v>
      </c>
      <c r="L15" s="15"/>
      <c r="M15" s="15"/>
      <c r="N15" s="15">
        <v>416.045275</v>
      </c>
      <c r="O15" s="15">
        <v>8459.1450000000004</v>
      </c>
      <c r="P15" s="10">
        <f t="shared" si="1"/>
        <v>49.182899099140634</v>
      </c>
      <c r="Q15" s="15"/>
      <c r="R15" s="15"/>
      <c r="T15" s="15"/>
      <c r="U15" s="15">
        <v>185.02968899999999</v>
      </c>
      <c r="V15" s="15">
        <v>7552.7879999999996</v>
      </c>
      <c r="W15" s="10">
        <f t="shared" si="0"/>
        <v>24.498197089604528</v>
      </c>
      <c r="X15" s="15"/>
      <c r="Y15" s="15"/>
      <c r="Z15" s="15"/>
      <c r="AA15" s="15"/>
    </row>
    <row r="16" spans="1:27" x14ac:dyDescent="0.45">
      <c r="A16" s="17">
        <v>2000</v>
      </c>
      <c r="B16" s="15">
        <v>8.0294924600249509</v>
      </c>
      <c r="C16" s="15">
        <v>1.3522373008236499</v>
      </c>
      <c r="D16" s="15">
        <f>100*(C16-B16)/B16</f>
        <v>-83.159118617324808</v>
      </c>
      <c r="E16" s="15">
        <v>150.402082794308</v>
      </c>
      <c r="F16" s="15">
        <v>0.92437925236424201</v>
      </c>
      <c r="G16" s="15">
        <f>100*(F16-E16)/E16</f>
        <v>-99.385394646676247</v>
      </c>
      <c r="H16" s="15">
        <v>45.521757066590801</v>
      </c>
      <c r="I16" s="15">
        <v>17.115436376151798</v>
      </c>
      <c r="J16" s="15">
        <f>100*(I16-H16)/H16</f>
        <v>-62.401635000347753</v>
      </c>
      <c r="K16" s="15">
        <v>351.94339174467399</v>
      </c>
      <c r="L16" s="15">
        <v>4.7920203502410397</v>
      </c>
      <c r="M16" s="15">
        <f>100*(L16-K16)/K16</f>
        <v>-98.638411613161495</v>
      </c>
      <c r="N16" s="15">
        <v>544.44885599999998</v>
      </c>
      <c r="O16" s="15">
        <v>8849.84</v>
      </c>
      <c r="P16" s="10">
        <f t="shared" si="1"/>
        <v>61.520756985437025</v>
      </c>
      <c r="Q16" s="15">
        <v>15.0314449</v>
      </c>
      <c r="R16" s="15">
        <v>5134.6135756000003</v>
      </c>
      <c r="S16" s="10">
        <f>((Q16*10^9)/(R16*10^3))/10^3</f>
        <v>2.9274734463817009</v>
      </c>
      <c r="T16" s="10">
        <f>100*(S16-P16)/P16</f>
        <v>-95.241486630155265</v>
      </c>
      <c r="U16" s="15">
        <v>218.482406</v>
      </c>
      <c r="V16" s="15">
        <v>7923.65</v>
      </c>
      <c r="W16" s="10">
        <f t="shared" si="0"/>
        <v>27.573454910300178</v>
      </c>
      <c r="X16" s="15">
        <v>14.05053</v>
      </c>
      <c r="Y16" s="15">
        <v>4929.9160099999999</v>
      </c>
      <c r="Z16" s="10">
        <f>((X16*10^9)/(Y16*10^3))/10^3</f>
        <v>2.8500546401803715</v>
      </c>
      <c r="AA16" s="10">
        <f>100*(Z16-W16)/W16</f>
        <v>-89.663773910625451</v>
      </c>
    </row>
    <row r="17" spans="1:27" x14ac:dyDescent="0.45">
      <c r="A17" s="17">
        <v>2001</v>
      </c>
      <c r="B17" s="15">
        <v>8.4462985029007793</v>
      </c>
      <c r="C17" s="15"/>
      <c r="D17" s="15"/>
      <c r="E17" s="15">
        <v>177.51091044776101</v>
      </c>
      <c r="F17" s="15"/>
      <c r="G17" s="15"/>
      <c r="H17" s="15">
        <v>46.454375890669901</v>
      </c>
      <c r="I17" s="15"/>
      <c r="J17" s="15"/>
      <c r="K17" s="15">
        <v>424.78157844044199</v>
      </c>
      <c r="L17" s="15"/>
      <c r="M17" s="15"/>
      <c r="N17" s="15">
        <v>654.08810300000005</v>
      </c>
      <c r="O17" s="15">
        <v>9101.7759999999998</v>
      </c>
      <c r="P17" s="10">
        <f t="shared" si="1"/>
        <v>71.863788232098869</v>
      </c>
      <c r="Q17" s="15"/>
      <c r="R17" s="15"/>
      <c r="T17" s="15"/>
      <c r="U17" s="15">
        <v>252.75191899999999</v>
      </c>
      <c r="V17" s="15">
        <v>8156.97</v>
      </c>
      <c r="W17" s="10">
        <f t="shared" si="0"/>
        <v>30.98600571045376</v>
      </c>
      <c r="X17" s="15"/>
      <c r="Y17" s="15"/>
      <c r="Z17" s="15"/>
      <c r="AA17" s="15"/>
    </row>
    <row r="18" spans="1:27" x14ac:dyDescent="0.45">
      <c r="A18" s="17">
        <v>2002</v>
      </c>
      <c r="B18" s="15">
        <v>8.6071948722756293</v>
      </c>
      <c r="C18" s="15"/>
      <c r="D18" s="15"/>
      <c r="E18" s="15">
        <v>150.62036636971001</v>
      </c>
      <c r="F18" s="15"/>
      <c r="G18" s="15"/>
      <c r="H18" s="15">
        <v>44.865302846855201</v>
      </c>
      <c r="I18" s="15"/>
      <c r="J18" s="15"/>
      <c r="K18" s="15">
        <v>389.37658175187602</v>
      </c>
      <c r="L18" s="15"/>
      <c r="M18" s="15"/>
      <c r="N18" s="15">
        <v>639.36875499999996</v>
      </c>
      <c r="O18" s="15">
        <v>9864.9619999999995</v>
      </c>
      <c r="P18" s="10">
        <f t="shared" si="1"/>
        <v>64.812084932511652</v>
      </c>
      <c r="Q18" s="15"/>
      <c r="R18" s="15"/>
      <c r="T18" s="15"/>
      <c r="U18" s="15">
        <v>253.28513100000001</v>
      </c>
      <c r="V18" s="15">
        <v>8873.4189999999999</v>
      </c>
      <c r="W18" s="10">
        <f t="shared" si="0"/>
        <v>28.544254587775015</v>
      </c>
      <c r="X18" s="15"/>
      <c r="Y18" s="15"/>
      <c r="Z18" s="15"/>
      <c r="AA18" s="15"/>
    </row>
    <row r="19" spans="1:27" x14ac:dyDescent="0.45">
      <c r="A19" s="17">
        <v>2003</v>
      </c>
      <c r="B19" s="15">
        <v>8.7929412668151201</v>
      </c>
      <c r="C19" s="15">
        <v>0.83497303290640501</v>
      </c>
      <c r="D19" s="15">
        <f>100*(C19-B19)/B19</f>
        <v>-90.504053108399305</v>
      </c>
      <c r="E19" s="15">
        <v>125.646051256281</v>
      </c>
      <c r="F19" s="15">
        <v>4.6046279265760202</v>
      </c>
      <c r="G19" s="15">
        <f>100*(F19-E19)/E19</f>
        <v>-96.335238648141882</v>
      </c>
      <c r="H19" s="15">
        <v>43.1755507220468</v>
      </c>
      <c r="I19" s="15">
        <v>26.0897254093077</v>
      </c>
      <c r="J19" s="15">
        <f>100*(I19-H19)/H19</f>
        <v>-39.572918068221739</v>
      </c>
      <c r="K19" s="15">
        <v>313.66765098592401</v>
      </c>
      <c r="L19" s="15">
        <v>2.0508410385671598</v>
      </c>
      <c r="M19" s="15">
        <f>100*(L19-K19)/K19</f>
        <v>-99.346173877949823</v>
      </c>
      <c r="N19" s="15">
        <v>544.26043100000004</v>
      </c>
      <c r="O19" s="15">
        <v>10027.543</v>
      </c>
      <c r="P19" s="10">
        <f t="shared" si="1"/>
        <v>54.276549200536969</v>
      </c>
      <c r="Q19" s="15">
        <v>18.793201799999999</v>
      </c>
      <c r="R19" s="15">
        <v>5245.8096660000001</v>
      </c>
      <c r="S19" s="10">
        <f>((Q19*10^9)/(R19*10^3))/10^3</f>
        <v>3.5825169033115274</v>
      </c>
      <c r="T19" s="10">
        <f>100*(S19-P19)/P19</f>
        <v>-93.399512393326418</v>
      </c>
      <c r="U19" s="15">
        <v>244.50331299999999</v>
      </c>
      <c r="V19" s="15">
        <v>9071.8909999999996</v>
      </c>
      <c r="W19" s="10">
        <f t="shared" si="0"/>
        <v>26.951747215657683</v>
      </c>
      <c r="X19" s="15">
        <v>17.7774</v>
      </c>
      <c r="Y19" s="15">
        <v>4750.4997999999996</v>
      </c>
      <c r="Z19" s="10">
        <f>((X19*10^9)/(Y19*10^3))/10^3</f>
        <v>3.7422167663284607</v>
      </c>
      <c r="AA19" s="10">
        <f>100*(Z19-W19)/W19</f>
        <v>-86.115123682391882</v>
      </c>
    </row>
    <row r="20" spans="1:27" x14ac:dyDescent="0.45">
      <c r="A20" s="17">
        <v>2004</v>
      </c>
      <c r="B20" s="15">
        <v>9.1964122395318402</v>
      </c>
      <c r="C20" s="15"/>
      <c r="D20" s="15"/>
      <c r="E20" s="15">
        <v>124.216325023084</v>
      </c>
      <c r="F20" s="15"/>
      <c r="G20" s="15"/>
      <c r="H20" s="15">
        <v>42.9775837521439</v>
      </c>
      <c r="I20" s="15"/>
      <c r="J20" s="15"/>
      <c r="K20" s="15">
        <v>279.17100322166999</v>
      </c>
      <c r="L20" s="15"/>
      <c r="M20" s="15"/>
      <c r="N20" s="15">
        <v>514.491579</v>
      </c>
      <c r="O20" s="15">
        <v>10326.674000000001</v>
      </c>
      <c r="P20" s="10">
        <f t="shared" si="1"/>
        <v>49.821615265476566</v>
      </c>
      <c r="Q20" s="15"/>
      <c r="R20" s="15"/>
      <c r="T20" s="15"/>
      <c r="U20" s="15">
        <v>259.12185799999997</v>
      </c>
      <c r="V20" s="15">
        <v>9411.9310000000005</v>
      </c>
      <c r="W20" s="10">
        <f t="shared" si="0"/>
        <v>27.531210970416161</v>
      </c>
      <c r="X20" s="15"/>
      <c r="Y20" s="15"/>
      <c r="Z20" s="15"/>
      <c r="AA20" s="15"/>
    </row>
    <row r="21" spans="1:27" x14ac:dyDescent="0.45">
      <c r="A21" s="17">
        <v>2005</v>
      </c>
      <c r="B21" s="15">
        <v>9.1809674440539606</v>
      </c>
      <c r="C21" s="15"/>
      <c r="D21" s="15"/>
      <c r="E21" s="15">
        <v>109.18418173987899</v>
      </c>
      <c r="F21" s="15"/>
      <c r="G21" s="15"/>
      <c r="H21" s="15">
        <v>42.181989146547203</v>
      </c>
      <c r="I21" s="15"/>
      <c r="J21" s="15"/>
      <c r="K21" s="15">
        <v>237.14331253166401</v>
      </c>
      <c r="L21" s="15"/>
      <c r="M21" s="15"/>
      <c r="N21" s="15">
        <v>452.00870300000003</v>
      </c>
      <c r="O21" s="15">
        <v>10547.555</v>
      </c>
      <c r="P21" s="10">
        <f t="shared" si="1"/>
        <v>42.854358474546942</v>
      </c>
      <c r="Q21" s="15"/>
      <c r="R21" s="15"/>
      <c r="T21" s="15"/>
      <c r="U21" s="15">
        <v>251.669084</v>
      </c>
      <c r="V21" s="15">
        <v>9702.7510000000002</v>
      </c>
      <c r="W21" s="10">
        <f t="shared" si="0"/>
        <v>25.937910186502776</v>
      </c>
      <c r="X21" s="15"/>
      <c r="Y21" s="15"/>
      <c r="Z21" s="15"/>
      <c r="AA21" s="15"/>
    </row>
    <row r="22" spans="1:27" x14ac:dyDescent="0.45">
      <c r="A22" s="17">
        <v>2006</v>
      </c>
      <c r="B22" s="15">
        <v>9.8643490526350508</v>
      </c>
      <c r="C22" s="15">
        <v>2.81376152316684</v>
      </c>
      <c r="D22" s="15">
        <f>100*(C22-B22)/B22</f>
        <v>-71.47544649775746</v>
      </c>
      <c r="E22" s="15">
        <v>112.909676402767</v>
      </c>
      <c r="F22" s="15">
        <v>24.158177996028101</v>
      </c>
      <c r="G22" s="15">
        <f>100*(F22-E22)/E22</f>
        <v>-78.603979069205735</v>
      </c>
      <c r="H22" s="15">
        <v>45.953212196592297</v>
      </c>
      <c r="I22" s="15">
        <v>20.217280699888999</v>
      </c>
      <c r="J22" s="15">
        <f>100*(I22-H22)/H22</f>
        <v>-56.004640952198265</v>
      </c>
      <c r="K22" s="15">
        <v>261.24538981817102</v>
      </c>
      <c r="L22" s="15">
        <v>19.963037941672599</v>
      </c>
      <c r="M22" s="15">
        <f>100*(L22-K22)/K22</f>
        <v>-92.358510917430138</v>
      </c>
      <c r="N22" s="15">
        <v>495.41952500000002</v>
      </c>
      <c r="O22" s="15">
        <v>10890.545</v>
      </c>
      <c r="P22" s="10">
        <f t="shared" si="1"/>
        <v>45.490792701375362</v>
      </c>
      <c r="Q22" s="15">
        <v>39.277480699999998</v>
      </c>
      <c r="R22" s="15">
        <v>3772.2974669999999</v>
      </c>
      <c r="S22" s="10">
        <f>((Q22*10^9)/(R22*10^3))/10^3</f>
        <v>10.412084689396528</v>
      </c>
      <c r="T22" s="10">
        <f>100*(S22-P22)/P22</f>
        <v>-77.111665743556642</v>
      </c>
      <c r="U22" s="15">
        <v>288.69813799999997</v>
      </c>
      <c r="V22" s="15">
        <v>10099.253000000001</v>
      </c>
      <c r="W22" s="10">
        <f t="shared" si="0"/>
        <v>28.586088297817671</v>
      </c>
      <c r="X22" s="15">
        <v>34.436799999999998</v>
      </c>
      <c r="Y22" s="15">
        <v>3529.8153000000002</v>
      </c>
      <c r="Z22" s="10">
        <f>((X22*10^9)/(Y22*10^3))/10^3</f>
        <v>9.7559778836020108</v>
      </c>
      <c r="AA22" s="10">
        <f>100*(Z22-W22)/W22</f>
        <v>-65.871588368574351</v>
      </c>
    </row>
    <row r="23" spans="1:27" x14ac:dyDescent="0.45">
      <c r="A23" s="17">
        <v>2007</v>
      </c>
      <c r="B23" s="15">
        <v>10.3948567016766</v>
      </c>
      <c r="C23" s="15"/>
      <c r="D23" s="15"/>
      <c r="E23" s="15">
        <v>152.64954950494999</v>
      </c>
      <c r="F23" s="15"/>
      <c r="G23" s="15"/>
      <c r="H23" s="15">
        <v>52.831397853797199</v>
      </c>
      <c r="I23" s="15"/>
      <c r="J23" s="15"/>
      <c r="K23" s="15">
        <v>312.99479203539801</v>
      </c>
      <c r="L23" s="15"/>
      <c r="M23" s="15"/>
      <c r="N23" s="15">
        <v>661.83263599999998</v>
      </c>
      <c r="O23" s="15">
        <v>11521.477999999999</v>
      </c>
      <c r="P23" s="10">
        <f t="shared" si="1"/>
        <v>57.443379746938724</v>
      </c>
      <c r="Q23" s="15"/>
      <c r="R23" s="15"/>
      <c r="T23" s="15"/>
      <c r="U23" s="15">
        <v>378.88534399999998</v>
      </c>
      <c r="V23" s="15">
        <v>10617.477999999999</v>
      </c>
      <c r="W23" s="10">
        <f t="shared" si="0"/>
        <v>35.68506042583747</v>
      </c>
      <c r="X23" s="15"/>
      <c r="Y23" s="15"/>
      <c r="Z23" s="15"/>
      <c r="AA23" s="15"/>
    </row>
    <row r="24" spans="1:27" x14ac:dyDescent="0.45">
      <c r="A24" s="17">
        <v>2008</v>
      </c>
      <c r="B24" s="15">
        <v>11.524761289953201</v>
      </c>
      <c r="C24" s="15"/>
      <c r="D24" s="15"/>
      <c r="E24" s="15">
        <v>262.53363136995398</v>
      </c>
      <c r="F24" s="15"/>
      <c r="G24" s="15"/>
      <c r="H24" s="15">
        <v>65.135651517339397</v>
      </c>
      <c r="I24" s="15"/>
      <c r="J24" s="15"/>
      <c r="K24" s="15">
        <v>607.12211158107505</v>
      </c>
      <c r="L24" s="15"/>
      <c r="M24" s="15"/>
      <c r="N24" s="15">
        <v>1159.1740319999999</v>
      </c>
      <c r="O24" s="15">
        <v>11741.981</v>
      </c>
      <c r="P24" s="10">
        <f t="shared" si="1"/>
        <v>98.720482685161898</v>
      </c>
      <c r="Q24" s="15"/>
      <c r="R24" s="15"/>
      <c r="T24" s="15"/>
      <c r="U24" s="15">
        <v>596.35908500000005</v>
      </c>
      <c r="V24" s="15">
        <v>10814.96</v>
      </c>
      <c r="W24" s="10">
        <f t="shared" si="0"/>
        <v>55.142051843002655</v>
      </c>
      <c r="X24" s="15"/>
      <c r="Y24" s="15"/>
      <c r="Z24" s="15"/>
      <c r="AA24" s="15"/>
    </row>
    <row r="25" spans="1:27" x14ac:dyDescent="0.45">
      <c r="A25" s="17">
        <v>2009</v>
      </c>
      <c r="B25" s="15">
        <v>11.917025229696</v>
      </c>
      <c r="C25" s="15">
        <v>6.2906151241449004</v>
      </c>
      <c r="D25" s="15">
        <f>100*(C25-B25)/B25</f>
        <v>-47.213209648416829</v>
      </c>
      <c r="E25" s="15">
        <v>200.771708852459</v>
      </c>
      <c r="F25" s="15">
        <v>16.864496415560001</v>
      </c>
      <c r="G25" s="15">
        <f>100*(F25-E25)/E25</f>
        <v>-91.60016293533009</v>
      </c>
      <c r="H25" s="15">
        <v>58.871521780958098</v>
      </c>
      <c r="I25" s="15">
        <v>33.759468546198399</v>
      </c>
      <c r="J25" s="15">
        <f>100*(I25-H25)/H25</f>
        <v>-42.655688990329708</v>
      </c>
      <c r="K25" s="15">
        <v>583.21595101133596</v>
      </c>
      <c r="L25" s="15">
        <v>25.210067019002601</v>
      </c>
      <c r="M25" s="15">
        <f>100*(L25-K25)/K25</f>
        <v>-95.677404403071165</v>
      </c>
      <c r="N25" s="15">
        <v>1032.967946</v>
      </c>
      <c r="O25" s="15">
        <v>11720.806</v>
      </c>
      <c r="P25" s="10">
        <f t="shared" si="1"/>
        <v>88.131135862158288</v>
      </c>
      <c r="Q25" s="15">
        <v>61.897290499999997</v>
      </c>
      <c r="R25" s="15">
        <v>4223.5654317999997</v>
      </c>
      <c r="S25" s="10">
        <f>((Q25*10^9)/(R25*10^3))/10^3</f>
        <v>14.655222346968735</v>
      </c>
      <c r="T25" s="10">
        <f>100*(S25-P25)/P25</f>
        <v>-83.371118273239688</v>
      </c>
      <c r="U25" s="15">
        <v>498.76138099999997</v>
      </c>
      <c r="V25" s="15">
        <v>10804.839</v>
      </c>
      <c r="W25" s="10">
        <f t="shared" si="0"/>
        <v>46.160926692197819</v>
      </c>
      <c r="X25" s="15">
        <v>56.5944</v>
      </c>
      <c r="Y25" s="15">
        <v>4013.2172999999998</v>
      </c>
      <c r="Z25" s="10">
        <f>((X25*10^9)/(Y25*10^3))/10^3</f>
        <v>14.102002400916591</v>
      </c>
      <c r="AA25" s="10">
        <f>100*(Z25-W25)/W25</f>
        <v>-69.450348137616288</v>
      </c>
    </row>
    <row r="26" spans="1:27" x14ac:dyDescent="0.45">
      <c r="A26" s="17">
        <v>2010</v>
      </c>
      <c r="B26" s="15">
        <v>10.8554507562956</v>
      </c>
      <c r="C26" s="15"/>
      <c r="D26" s="15"/>
      <c r="E26" s="15">
        <v>146.610860743541</v>
      </c>
      <c r="F26" s="15"/>
      <c r="G26" s="15"/>
      <c r="H26" s="15">
        <v>49.345842584783</v>
      </c>
      <c r="I26" s="15"/>
      <c r="J26" s="15"/>
      <c r="K26" s="15">
        <v>415.83135633857501</v>
      </c>
      <c r="L26" s="15"/>
      <c r="M26" s="15"/>
      <c r="N26" s="15">
        <v>751.37019199999997</v>
      </c>
      <c r="O26" s="15">
        <v>11445.299000000001</v>
      </c>
      <c r="P26" s="10">
        <f t="shared" si="1"/>
        <v>65.648804107258357</v>
      </c>
      <c r="Q26" s="15"/>
      <c r="R26" s="15"/>
      <c r="T26" s="15"/>
      <c r="U26" s="15">
        <v>394.95739400000002</v>
      </c>
      <c r="V26" s="15">
        <v>10588.19</v>
      </c>
      <c r="W26" s="10">
        <f t="shared" si="0"/>
        <v>37.301691223901351</v>
      </c>
      <c r="X26" s="15"/>
      <c r="Y26" s="15"/>
      <c r="Z26" s="15"/>
      <c r="AA26" s="15"/>
    </row>
    <row r="27" spans="1:27" x14ac:dyDescent="0.45">
      <c r="A27" s="17">
        <v>2011</v>
      </c>
      <c r="B27" s="15">
        <v>10.694540519217901</v>
      </c>
      <c r="C27" s="15"/>
      <c r="D27" s="15"/>
      <c r="E27" s="15">
        <v>167.14279621162601</v>
      </c>
      <c r="F27" s="15"/>
      <c r="G27" s="15"/>
      <c r="H27" s="15">
        <v>49.8610706058479</v>
      </c>
      <c r="I27" s="15"/>
      <c r="J27" s="15"/>
      <c r="K27" s="15">
        <v>445.81213202153299</v>
      </c>
      <c r="L27" s="15"/>
      <c r="M27" s="15"/>
      <c r="N27" s="15">
        <v>783.34720300000004</v>
      </c>
      <c r="O27" s="15">
        <v>11295.63</v>
      </c>
      <c r="P27" s="10">
        <f t="shared" si="1"/>
        <v>69.34958059001579</v>
      </c>
      <c r="Q27" s="15"/>
      <c r="R27" s="15"/>
      <c r="T27" s="15"/>
      <c r="U27" s="15">
        <v>413.91026799999997</v>
      </c>
      <c r="V27" s="15">
        <v>10466.947</v>
      </c>
      <c r="W27" s="10">
        <f t="shared" si="0"/>
        <v>39.544507868435751</v>
      </c>
      <c r="X27" s="15"/>
      <c r="Y27" s="15"/>
      <c r="Z27" s="15"/>
      <c r="AA27" s="15"/>
    </row>
    <row r="28" spans="1:27" x14ac:dyDescent="0.45">
      <c r="A28" s="17">
        <v>2012</v>
      </c>
      <c r="B28" s="15">
        <v>10.497965174341299</v>
      </c>
      <c r="C28" s="15">
        <v>1.61906778569132</v>
      </c>
      <c r="D28" s="15">
        <f>100*(C28-B28)/B28</f>
        <v>-84.577317996362012</v>
      </c>
      <c r="E28" s="15">
        <v>147.54918163403099</v>
      </c>
      <c r="F28" s="15">
        <v>8.73434638970161</v>
      </c>
      <c r="G28" s="15">
        <f>100*(F28-E28)/E28</f>
        <v>-94.080383033661562</v>
      </c>
      <c r="H28" s="15">
        <v>44.678301341485799</v>
      </c>
      <c r="I28" s="15">
        <v>8.65413090052059</v>
      </c>
      <c r="J28" s="15">
        <f>100*(I28-H28)/H28</f>
        <v>-80.630125495651185</v>
      </c>
      <c r="K28" s="15">
        <v>371.095358150903</v>
      </c>
      <c r="L28" s="15">
        <v>9.6202720681372806</v>
      </c>
      <c r="M28" s="15">
        <f>100*(L28-K28)/K28</f>
        <v>-97.407601076964895</v>
      </c>
      <c r="N28" s="15">
        <v>650.65556100000003</v>
      </c>
      <c r="O28" s="15">
        <v>10986.884</v>
      </c>
      <c r="P28" s="10">
        <f t="shared" si="1"/>
        <v>59.221118653842161</v>
      </c>
      <c r="Q28" s="15">
        <v>22.164442480000002</v>
      </c>
      <c r="R28" s="15">
        <v>3970.3703337000002</v>
      </c>
      <c r="S28" s="10">
        <f>((Q28*10^9)/(R28*10^3))/10^3</f>
        <v>5.5824622433507072</v>
      </c>
      <c r="T28" s="10">
        <f>100*(S28-P28)/P28</f>
        <v>-90.573527872748954</v>
      </c>
      <c r="U28" s="15">
        <v>361.27651400000002</v>
      </c>
      <c r="V28" s="15">
        <v>10207.087</v>
      </c>
      <c r="W28" s="10">
        <f t="shared" si="0"/>
        <v>35.394673720327845</v>
      </c>
      <c r="X28" s="15">
        <v>19.701640000000001</v>
      </c>
      <c r="Y28" s="15">
        <v>3714.3690000000001</v>
      </c>
      <c r="Z28" s="10">
        <f>((X28*10^9)/(Y28*10^3))/10^3</f>
        <v>5.3041687565236515</v>
      </c>
      <c r="AA28" s="10">
        <f>100*(Z28-W28)/W28</f>
        <v>-85.014217680222984</v>
      </c>
    </row>
    <row r="29" spans="1:27" x14ac:dyDescent="0.45">
      <c r="A29" s="17">
        <v>2013</v>
      </c>
      <c r="B29" s="15">
        <v>10.9585316247886</v>
      </c>
      <c r="C29" s="15"/>
      <c r="D29" s="15"/>
      <c r="E29" s="15">
        <v>160.11980818242799</v>
      </c>
      <c r="F29" s="15"/>
      <c r="G29" s="15"/>
      <c r="H29" s="15">
        <v>45.2317120437271</v>
      </c>
      <c r="I29" s="15"/>
      <c r="J29" s="15"/>
      <c r="K29" s="15">
        <v>375.09470773198802</v>
      </c>
      <c r="L29" s="15"/>
      <c r="M29" s="15"/>
      <c r="N29" s="15">
        <v>679.43697499999996</v>
      </c>
      <c r="O29" s="15">
        <v>11108.003000000001</v>
      </c>
      <c r="P29" s="10">
        <f t="shared" si="1"/>
        <v>61.166437837656325</v>
      </c>
      <c r="Q29" s="15"/>
      <c r="R29" s="15"/>
      <c r="T29" s="15"/>
      <c r="U29" s="15">
        <v>387.41374200000001</v>
      </c>
      <c r="V29" s="15">
        <v>10329.471</v>
      </c>
      <c r="W29" s="10">
        <f t="shared" si="0"/>
        <v>37.50567110358314</v>
      </c>
      <c r="X29" s="15"/>
      <c r="Y29" s="15"/>
      <c r="Z29" s="15"/>
      <c r="AA29" s="15"/>
    </row>
    <row r="30" spans="1:27" x14ac:dyDescent="0.45">
      <c r="A30" s="17">
        <v>2014</v>
      </c>
      <c r="B30" s="21"/>
      <c r="C30" s="15"/>
      <c r="D30" s="15"/>
      <c r="E30" s="15">
        <v>150.92468591370601</v>
      </c>
      <c r="F30" s="15"/>
      <c r="G30" s="15"/>
      <c r="H30" s="15"/>
      <c r="I30" s="15"/>
      <c r="J30" s="15"/>
      <c r="K30" s="15"/>
      <c r="L30" s="15"/>
      <c r="M30" s="15"/>
      <c r="N30" s="20"/>
      <c r="O30" s="20"/>
      <c r="P30" s="20"/>
      <c r="Q30" s="15"/>
      <c r="R30" s="15"/>
      <c r="T30" s="15"/>
      <c r="U30" s="20"/>
      <c r="V30" s="20"/>
      <c r="W30" s="20"/>
      <c r="X30" s="15"/>
      <c r="Y30" s="15"/>
      <c r="Z30" s="15"/>
      <c r="AA30" s="15"/>
    </row>
    <row r="31" spans="1:27" x14ac:dyDescent="0.45">
      <c r="A31" s="17">
        <v>2015</v>
      </c>
      <c r="B31" s="21"/>
      <c r="C31" s="15">
        <v>2.2347675196446199</v>
      </c>
      <c r="D31" s="15"/>
      <c r="E31" s="15"/>
      <c r="F31" s="15">
        <v>12.0171414434126</v>
      </c>
      <c r="G31" s="15"/>
      <c r="H31" s="15"/>
      <c r="I31" s="15">
        <v>18.0824346284532</v>
      </c>
      <c r="J31" s="15"/>
      <c r="K31" s="15"/>
      <c r="L31" s="15">
        <v>44.471469623753499</v>
      </c>
      <c r="M31" s="15"/>
      <c r="N31" s="20"/>
      <c r="O31" s="20"/>
      <c r="P31" s="20"/>
      <c r="Q31" s="15">
        <v>30.879364970000001</v>
      </c>
      <c r="R31" s="15">
        <v>3159.5954006000002</v>
      </c>
      <c r="S31" s="10">
        <f>((Q31*10^9)/(R31*10^3))/10^3</f>
        <v>9.7732022790437281</v>
      </c>
      <c r="T31" s="20"/>
      <c r="U31" s="20"/>
      <c r="V31" s="20"/>
      <c r="W31" s="20"/>
      <c r="X31" s="15">
        <v>23.650600000000001</v>
      </c>
      <c r="Y31" s="15">
        <v>2997.0470289999998</v>
      </c>
      <c r="Z31" s="10">
        <f>((X31*10^9)/(Y31*10^3))/10^3</f>
        <v>7.8913009275971575</v>
      </c>
      <c r="AA31" s="20"/>
    </row>
    <row r="32" spans="1:27" x14ac:dyDescent="0.45">
      <c r="A32" s="1" t="s">
        <v>38</v>
      </c>
      <c r="B32" s="13">
        <f t="shared" ref="B32:AA32" si="2">AVERAGE(B$4:B$31)</f>
        <v>8.4455440252741028</v>
      </c>
      <c r="C32" s="13">
        <f t="shared" si="2"/>
        <v>1.9540640565128089</v>
      </c>
      <c r="D32" s="13">
        <f t="shared" si="2"/>
        <v>-79.138546165909645</v>
      </c>
      <c r="E32" s="13">
        <f t="shared" si="2"/>
        <v>123.82677140387671</v>
      </c>
      <c r="F32" s="13">
        <f t="shared" si="2"/>
        <v>8.5739757320118635</v>
      </c>
      <c r="G32" s="13">
        <f t="shared" si="2"/>
        <v>-92.538891736484814</v>
      </c>
      <c r="H32" s="13">
        <f t="shared" si="2"/>
        <v>44.26415225452353</v>
      </c>
      <c r="I32" s="13">
        <f t="shared" si="2"/>
        <v>17.018722839462509</v>
      </c>
      <c r="J32" s="13">
        <f t="shared" si="2"/>
        <v>-62.573426614167815</v>
      </c>
      <c r="K32" s="13">
        <f t="shared" si="2"/>
        <v>293.67258775040671</v>
      </c>
      <c r="L32" s="13">
        <f t="shared" si="2"/>
        <v>19.5243754055696</v>
      </c>
      <c r="M32" s="13">
        <f t="shared" si="2"/>
        <v>-92.193266010297833</v>
      </c>
      <c r="N32" s="13">
        <f t="shared" si="2"/>
        <v>514.37948404166673</v>
      </c>
      <c r="O32" s="13">
        <f t="shared" si="2"/>
        <v>9539.5072083333343</v>
      </c>
      <c r="P32" s="13">
        <f t="shared" si="2"/>
        <v>51.615618113172438</v>
      </c>
      <c r="Q32" s="13">
        <f t="shared" si="2"/>
        <v>25.402776965000001</v>
      </c>
      <c r="R32" s="13">
        <f t="shared" si="2"/>
        <v>4296.8924736600002</v>
      </c>
      <c r="S32" s="13">
        <f t="shared" si="2"/>
        <v>6.2645020621908509</v>
      </c>
      <c r="T32" s="13">
        <f t="shared" si="2"/>
        <v>-88.865280625711833</v>
      </c>
      <c r="U32" s="13">
        <f t="shared" si="2"/>
        <v>243.14598646153848</v>
      </c>
      <c r="V32" s="13">
        <f t="shared" si="2"/>
        <v>8456.8648461538432</v>
      </c>
      <c r="W32" s="13">
        <f t="shared" si="2"/>
        <v>26.995717085955423</v>
      </c>
      <c r="X32" s="13">
        <f t="shared" si="2"/>
        <v>20.467000000000002</v>
      </c>
      <c r="Y32" s="13">
        <f t="shared" si="2"/>
        <v>4019.0377929199994</v>
      </c>
      <c r="Z32" s="13">
        <f t="shared" si="2"/>
        <v>5.385867778539402</v>
      </c>
      <c r="AA32" s="13">
        <f t="shared" si="2"/>
        <v>-81.807947436787188</v>
      </c>
    </row>
    <row r="33" spans="1:27" x14ac:dyDescent="0.45">
      <c r="A33" s="1" t="s">
        <v>39</v>
      </c>
      <c r="B33" s="13">
        <f t="shared" ref="B33:AA33" si="3">MIN(B$4:B$31)</f>
        <v>6.2099673561500301</v>
      </c>
      <c r="C33" s="13">
        <f t="shared" si="3"/>
        <v>0.65062456373481203</v>
      </c>
      <c r="D33" s="13">
        <f t="shared" si="3"/>
        <v>-90.504053108399305</v>
      </c>
      <c r="E33" s="13">
        <f t="shared" si="3"/>
        <v>54.231005312085003</v>
      </c>
      <c r="F33" s="13">
        <f t="shared" si="3"/>
        <v>0.92437925236424201</v>
      </c>
      <c r="G33" s="13">
        <f t="shared" si="3"/>
        <v>-99.385394646676247</v>
      </c>
      <c r="H33" s="13">
        <f t="shared" si="3"/>
        <v>36.104349268093401</v>
      </c>
      <c r="I33" s="13">
        <f t="shared" si="3"/>
        <v>3.65335570055823</v>
      </c>
      <c r="J33" s="13">
        <f t="shared" si="3"/>
        <v>-91.583093006743454</v>
      </c>
      <c r="K33" s="13">
        <f t="shared" si="3"/>
        <v>130.10107691691701</v>
      </c>
      <c r="L33" s="13">
        <f t="shared" si="3"/>
        <v>1.4027937220664399</v>
      </c>
      <c r="M33" s="13">
        <f t="shared" si="3"/>
        <v>-99.346173877949823</v>
      </c>
      <c r="N33" s="13">
        <f t="shared" si="3"/>
        <v>223.98852299999999</v>
      </c>
      <c r="O33" s="13">
        <f t="shared" si="3"/>
        <v>7226.8779999999997</v>
      </c>
      <c r="P33" s="13">
        <f t="shared" si="3"/>
        <v>28.860153089623008</v>
      </c>
      <c r="Q33" s="13">
        <f t="shared" si="3"/>
        <v>6.2575989999999999</v>
      </c>
      <c r="R33" s="13">
        <f t="shared" si="3"/>
        <v>3159.5954006000002</v>
      </c>
      <c r="S33" s="13">
        <f t="shared" si="3"/>
        <v>1.4545304573031828</v>
      </c>
      <c r="T33" s="13">
        <f t="shared" si="3"/>
        <v>-95.241486630155265</v>
      </c>
      <c r="U33" s="13">
        <f t="shared" si="3"/>
        <v>97.157821999999996</v>
      </c>
      <c r="V33" s="13">
        <f t="shared" si="3"/>
        <v>5939.3450000000003</v>
      </c>
      <c r="W33" s="13">
        <f t="shared" si="3"/>
        <v>15.524856724854793</v>
      </c>
      <c r="X33" s="13">
        <f t="shared" si="3"/>
        <v>5.6341000000000001</v>
      </c>
      <c r="Y33" s="13">
        <f t="shared" si="3"/>
        <v>2997.0470289999998</v>
      </c>
      <c r="Z33" s="13">
        <f t="shared" si="3"/>
        <v>1.1500945977863761</v>
      </c>
      <c r="AA33" s="13">
        <f t="shared" si="3"/>
        <v>-93.585711419203449</v>
      </c>
    </row>
    <row r="34" spans="1:27" x14ac:dyDescent="0.45">
      <c r="A34" s="1" t="s">
        <v>40</v>
      </c>
      <c r="B34" s="13">
        <f t="shared" ref="B34:AA34" si="4">MAX(B$4:B$31)</f>
        <v>11.917025229696</v>
      </c>
      <c r="C34" s="13">
        <f t="shared" si="4"/>
        <v>6.2906151241449004</v>
      </c>
      <c r="D34" s="13">
        <f t="shared" si="4"/>
        <v>-47.213209648416829</v>
      </c>
      <c r="E34" s="13">
        <f t="shared" si="4"/>
        <v>262.53363136995398</v>
      </c>
      <c r="F34" s="13">
        <f t="shared" si="4"/>
        <v>24.158177996028101</v>
      </c>
      <c r="G34" s="13">
        <f t="shared" si="4"/>
        <v>-78.603979069205735</v>
      </c>
      <c r="H34" s="13">
        <f t="shared" si="4"/>
        <v>65.135651517339397</v>
      </c>
      <c r="I34" s="13">
        <f t="shared" si="4"/>
        <v>33.759468546198399</v>
      </c>
      <c r="J34" s="13">
        <f t="shared" si="4"/>
        <v>-19.398608895174608</v>
      </c>
      <c r="K34" s="13">
        <f t="shared" si="4"/>
        <v>607.12211158107505</v>
      </c>
      <c r="L34" s="13">
        <f t="shared" si="4"/>
        <v>53.494008386224102</v>
      </c>
      <c r="M34" s="13">
        <f t="shared" si="4"/>
        <v>-67.670523555949018</v>
      </c>
      <c r="N34" s="13">
        <f t="shared" si="4"/>
        <v>1159.1740319999999</v>
      </c>
      <c r="O34" s="13">
        <f t="shared" si="4"/>
        <v>11741.981</v>
      </c>
      <c r="P34" s="13">
        <f t="shared" si="4"/>
        <v>98.720482685161898</v>
      </c>
      <c r="Q34" s="13">
        <f t="shared" si="4"/>
        <v>61.897290499999997</v>
      </c>
      <c r="R34" s="13">
        <f t="shared" si="4"/>
        <v>5342.1985199999999</v>
      </c>
      <c r="S34" s="13">
        <f t="shared" si="4"/>
        <v>14.655222346968735</v>
      </c>
      <c r="T34" s="13">
        <f t="shared" si="4"/>
        <v>-77.111665743556642</v>
      </c>
      <c r="U34" s="13">
        <f t="shared" si="4"/>
        <v>596.35908500000005</v>
      </c>
      <c r="V34" s="13">
        <f t="shared" si="4"/>
        <v>10814.96</v>
      </c>
      <c r="W34" s="13">
        <f t="shared" si="4"/>
        <v>55.142051843002655</v>
      </c>
      <c r="X34" s="13">
        <f t="shared" si="4"/>
        <v>56.5944</v>
      </c>
      <c r="Y34" s="13">
        <f t="shared" si="4"/>
        <v>4929.9160099999999</v>
      </c>
      <c r="Z34" s="13">
        <f t="shared" si="4"/>
        <v>14.102002400916591</v>
      </c>
      <c r="AA34" s="13">
        <f t="shared" si="4"/>
        <v>-65.871588368574351</v>
      </c>
    </row>
    <row r="35" spans="1:27" x14ac:dyDescent="0.45">
      <c r="A35" s="1" t="s">
        <v>41</v>
      </c>
      <c r="B35" s="13">
        <f t="shared" ref="B35:AA35" si="5">_xlfn.STDEV.P(B$4:B$31)</f>
        <v>1.8268108308544135</v>
      </c>
      <c r="C35" s="13">
        <f t="shared" si="5"/>
        <v>1.5685672910028154</v>
      </c>
      <c r="D35" s="13">
        <f t="shared" si="5"/>
        <v>12.502977226044589</v>
      </c>
      <c r="E35" s="13">
        <f t="shared" si="5"/>
        <v>48.964509671635255</v>
      </c>
      <c r="F35" s="13">
        <f t="shared" si="5"/>
        <v>7.0743571216632564</v>
      </c>
      <c r="G35" s="13">
        <f t="shared" si="5"/>
        <v>6.664556840586255</v>
      </c>
      <c r="H35" s="13">
        <f t="shared" si="5"/>
        <v>6.7083924365486149</v>
      </c>
      <c r="I35" s="13">
        <f t="shared" si="5"/>
        <v>10.568980629123384</v>
      </c>
      <c r="J35" s="13">
        <f t="shared" si="5"/>
        <v>23.683119132371559</v>
      </c>
      <c r="K35" s="13">
        <f t="shared" si="5"/>
        <v>135.24513354291943</v>
      </c>
      <c r="L35" s="13">
        <f t="shared" si="5"/>
        <v>16.767775639208352</v>
      </c>
      <c r="M35" s="13">
        <f t="shared" si="5"/>
        <v>10.003019887250181</v>
      </c>
      <c r="N35" s="13">
        <f t="shared" si="5"/>
        <v>251.34549483985194</v>
      </c>
      <c r="O35" s="13">
        <f t="shared" si="5"/>
        <v>1538.6653799340129</v>
      </c>
      <c r="P35" s="13">
        <f t="shared" si="5"/>
        <v>18.555289603571019</v>
      </c>
      <c r="Q35" s="13">
        <f t="shared" si="5"/>
        <v>14.857534169286152</v>
      </c>
      <c r="R35" s="13">
        <f t="shared" si="5"/>
        <v>696.29212676016095</v>
      </c>
      <c r="S35" s="13">
        <f t="shared" si="5"/>
        <v>3.9262478434854393</v>
      </c>
      <c r="T35" s="13">
        <f t="shared" si="5"/>
        <v>6.137309621279476</v>
      </c>
      <c r="U35" s="13">
        <f t="shared" si="5"/>
        <v>134.43165002714241</v>
      </c>
      <c r="V35" s="13">
        <f t="shared" si="5"/>
        <v>1641.3644011307051</v>
      </c>
      <c r="W35" s="13">
        <f t="shared" si="5"/>
        <v>10.207013029823653</v>
      </c>
      <c r="X35" s="13">
        <f t="shared" si="5"/>
        <v>14.621201746331936</v>
      </c>
      <c r="Y35" s="13">
        <f t="shared" si="5"/>
        <v>626.55940972211749</v>
      </c>
      <c r="Z35" s="13">
        <f t="shared" si="5"/>
        <v>3.9258372896710489</v>
      </c>
      <c r="AA35" s="13">
        <f t="shared" si="5"/>
        <v>10.493809562903195</v>
      </c>
    </row>
  </sheetData>
  <mergeCells count="7">
    <mergeCell ref="B1:AA1"/>
    <mergeCell ref="B2:D2"/>
    <mergeCell ref="E2:G2"/>
    <mergeCell ref="H2:J2"/>
    <mergeCell ref="K2:M2"/>
    <mergeCell ref="N2:T2"/>
    <mergeCell ref="U2:AA2"/>
  </mergeCells>
  <pageMargins left="0.7" right="0.7" top="0.75" bottom="0.75" header="0.51180555555555496" footer="0.51180555555555496"/>
  <pageSetup scale="37" firstPageNumber="0"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Worksheets</vt:lpstr>
      </vt:variant>
      <vt:variant>
        <vt:i4>43</vt:i4>
      </vt:variant>
    </vt:vector>
  </HeadingPairs>
  <TitlesOfParts>
    <vt:vector size="43" baseType="lpstr">
      <vt:lpstr>Aggregate Wage and Non Wage Inc</vt:lpstr>
      <vt:lpstr>Ag Bus Inc,Num,Per ret, adj LFO</vt:lpstr>
      <vt:lpstr>Aggregate income - SIPP PSID</vt:lpstr>
      <vt:lpstr>Agg. inc per owner - SIPP PSID</vt:lpstr>
      <vt:lpstr>Agg. Bus by loss &amp; profits</vt:lpstr>
      <vt:lpstr>Business Receipts</vt:lpstr>
      <vt:lpstr>Business Receipts per Return</vt:lpstr>
      <vt:lpstr>Pos Bus Inc per return by LFO</vt:lpstr>
      <vt:lpstr>Neg Bus Inc  per return by LF</vt:lpstr>
      <vt:lpstr>Bus Inc per return by AGI</vt:lpstr>
      <vt:lpstr>Bus Inc and Num Shares Dist</vt:lpstr>
      <vt:lpstr>Bus Inc and Num Levels Dist</vt:lpstr>
      <vt:lpstr>Business Income per Return e)</vt:lpstr>
      <vt:lpstr>Bus Inc 1040 &amp; Sch C</vt:lpstr>
      <vt:lpstr>Num Sole Prop Alternatives</vt:lpstr>
      <vt:lpstr>Pseudo Lorenz Curve a)</vt:lpstr>
      <vt:lpstr>Pseudo Lorenz Curve AGI</vt:lpstr>
      <vt:lpstr>Pseudo Lorenz Curve Loss</vt:lpstr>
      <vt:lpstr>Gini coefficients Sch C</vt:lpstr>
      <vt:lpstr>Gini coefficients Scorps</vt:lpstr>
      <vt:lpstr>Num Ret by LFO Pos</vt:lpstr>
      <vt:lpstr>Num Ret LFO Loss</vt:lpstr>
      <vt:lpstr>Num returns by AGI</vt:lpstr>
      <vt:lpstr>Number of Returns e)</vt:lpstr>
      <vt:lpstr>Rates of return by LFO</vt:lpstr>
      <vt:lpstr>Capital Gains by LFO</vt:lpstr>
      <vt:lpstr>compustat_pi_mval_all_firms</vt:lpstr>
      <vt:lpstr>comp_pi_mval_small_firms_mc</vt:lpstr>
      <vt:lpstr>compstat_pi_mval_small_firms_at</vt:lpstr>
      <vt:lpstr>compstat_pi_mval_small_firms_sa</vt:lpstr>
      <vt:lpstr>CRSP capital gains all firms</vt:lpstr>
      <vt:lpstr>PrattsReturns</vt:lpstr>
      <vt:lpstr>Broad bus income categories</vt:lpstr>
      <vt:lpstr>SIPP Income Yields 2011</vt:lpstr>
      <vt:lpstr>PSID Uninc Income Yields</vt:lpstr>
      <vt:lpstr>SIPP Uninc Income Yields</vt:lpstr>
      <vt:lpstr>SCF Uninc Income Yields</vt:lpstr>
      <vt:lpstr>Johnson and Moore BBI</vt:lpstr>
      <vt:lpstr>Schedule C+E+F</vt:lpstr>
      <vt:lpstr>Schedule E</vt:lpstr>
      <vt:lpstr>Venn diagram data</vt:lpstr>
      <vt:lpstr>non referencing by AGI</vt:lpstr>
      <vt:lpstr>non referencing by loss or prof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admin</cp:lastModifiedBy>
  <cp:revision>2</cp:revision>
  <cp:lastPrinted>2019-07-02T16:19:40Z</cp:lastPrinted>
  <dcterms:created xsi:type="dcterms:W3CDTF">2015-06-05T18:17:20Z</dcterms:created>
  <dcterms:modified xsi:type="dcterms:W3CDTF">2019-12-22T14:46:39Z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